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6" i="7" l="1"/>
  <c r="C9" i="12" l="1"/>
  <c r="C11" i="12" s="1"/>
  <c r="C31" i="8" s="1"/>
  <c r="E31" i="8" s="1"/>
  <c r="F8" i="2" l="1"/>
  <c r="F8" i="7"/>
  <c r="F25" i="7" s="1"/>
  <c r="F18" i="2" l="1"/>
  <c r="C9" i="10" s="1"/>
  <c r="C15" i="11" l="1"/>
  <c r="C28" i="8" s="1"/>
  <c r="C14" i="4"/>
  <c r="C26" i="8" s="1"/>
  <c r="C26" i="3"/>
  <c r="C24" i="8" s="1"/>
  <c r="F27" i="7"/>
  <c r="C18" i="8" s="1"/>
  <c r="C20" i="3"/>
  <c r="C23" i="8" s="1"/>
  <c r="C9" i="3"/>
  <c r="C21" i="8" s="1"/>
  <c r="C8" i="4"/>
  <c r="C25" i="8" s="1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<sst xmlns="http://schemas.openxmlformats.org/spreadsheetml/2006/main" count="396" uniqueCount="198">
  <si>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</si>
  <si>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</si>
  <si>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</si>
  <si>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</si>
  <si>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</si>
  <si>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</si>
  <si>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</si>
  <si>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</si>
  <si>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</si>
  <si>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</si>
  <si>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</si>
  <si>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</si>
  <si>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</si>
  <si>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</si>
  <si>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</si>
  <si>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</si>
  <si>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</si>
  <si>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</si>
  <si>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</si>
  <si>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</si>
  <si>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</si>
  <si>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</si>
  <si>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</si>
  <si>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</si>
  <si>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</si>
  <si>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</si>
  <si>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</si>
  <si>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</si>
  <si>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</si>
  <si>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</si>
  <si>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</si>
  <si>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</si>
  <si>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</si>
  <si>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</si>
  <si>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</si>
  <si>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</si>
  <si>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</si>
  <si>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</si>
  <si>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</si>
  <si>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</si>
  <si>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</si>
  <si>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</si>
  <si>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</si>
  <si>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</si>
  <si>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</si>
  <si>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</si>
  <si>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</si>
  <si>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</si>
  <si>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</si>
  <si>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</si>
  <si>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</si>
  <si>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</si>
  <si>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</si>
  <si>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</si>
  <si>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</si>
  <si>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</si>
  <si>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</si>
  <si>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</si>
  <si>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</si>
  <si>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</si>
  <si>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</si>
  <si>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</si>
  <si>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</si>
  <si>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</si>
  <si>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</si>
  <si>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</si>
  <si>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</si>
  <si>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</si>
  <si>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</si>
  <si>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</si>
  <si>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</si>
  <si>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</si>
  <si>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</si>
  <si>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</si>
  <si>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</si>
  <si>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</si>
  <si>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</si>
  <si>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</si>
  <si>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</si>
  <si>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</si>
  <si>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</si>
  <si>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</si>
  <si>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</si>
  <si>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</si>
  <si>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</si>
  <si>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</si>
  <si>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</si>
  <si>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</si>
  <si>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</si>
  <si>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</si>
  <si>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</si>
  <si>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</si>
  <si>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</si>
  <si>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</si>
  <si>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</si>
  <si>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</si>
  <si>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</si>
  <si>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</si>
  <si>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</si>
  <si>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</si>
  <si>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</si>
  <si>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</si>
  <si>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</si>
  <si>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</si>
  <si>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</si>
  <si>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</si>
  <si>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</si>
  <si>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</si>
  <si>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</si>
  <si>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</si>
  <si>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</si>
  <si>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</si>
  <si>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</si>
  <si>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</si>
  <si>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</si>
  <si>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</si>
  <si>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</si>
  <si>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</si>
  <si>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</si>
  <si>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</si>
  <si>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</si>
  <si>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</si>
  <si>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</si>
  <si>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</si>
  <si>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</si>
  <si>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</si>
  <si>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</si>
  <si>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</si>
  <si>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</si>
  <si>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</si>
  <si>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</si>
  <si>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</si>
  <si>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</si>
  <si>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</si>
  <si>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</si>
  <si>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</si>
  <si>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</si>
  <si>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</si>
  <si>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</si>
  <si>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</si>
  <si>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</si>
  <si>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</si>
  <si>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</si>
  <si>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</si>
  <si>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</si>
  <si>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</si>
  <si>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</si>
  <si>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</si>
  <si>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</si>
  <si>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</si>
  <si>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</si>
  <si>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</si>
  <si>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</si>
  <si>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</si>
  <si>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</si>
  <si>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</si>
  <si>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</si>
  <si>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</si>
  <si>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</si>
  <si>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</si>
  <si>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</si>
  <si>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</si>
  <si>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</si>
  <si>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</si>
  <si>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</si>
  <si>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</si>
  <si>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</si>
  <si>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</si>
  <si>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</si>
  <si>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</si>
  <si>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</si>
  <si>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</si>
  <si>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</si>
  <si>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</si>
  <si>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</si>
  <si>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</si>
  <si>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</si>
  <si>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</si>
  <si>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</si>
  <si>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</si>
  <si>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</si>
  <si>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</si>
  <si>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Ledningsnet ≤ Ø50 mm</t>
  </si>
  <si>
    <t>Ø 50mm &lt; Ledningsnet ≤ Ø110 mm</t>
  </si>
  <si>
    <t>Ventiler på ledningsnet ≤ Ø50 mm</t>
  </si>
  <si>
    <t>Ventiler på Ø 50mm &lt; Ledningsnet ≤ Ø110 mm</t>
  </si>
  <si>
    <t>Laboratorium (bygning, inkl. inventar+udstyr), Mek./EL</t>
  </si>
  <si>
    <t>Ø110 mm &lt; Ledningsnet ≤ Ø 250 mm</t>
  </si>
  <si>
    <t>Boring (inkl. etablering, forerør, filter og prøvepumpning)</t>
  </si>
  <si>
    <t>Råvandsstation komplet montering og boringshus/tørbrønd</t>
  </si>
  <si>
    <t>SRO anlæg</t>
  </si>
  <si>
    <t>SRO-anlæg, vandværk</t>
  </si>
  <si>
    <t>Rentvandsbeholder  insitu støbt</t>
  </si>
  <si>
    <t>Selskabsskatter</t>
  </si>
  <si>
    <t>Vandværket Lyngen</t>
  </si>
  <si>
    <t>V203</t>
  </si>
  <si>
    <t>Tillæg for gennemførte investeringer i 2010-2014</t>
  </si>
  <si>
    <r>
      <t>Afgift for ledningsført vand</t>
    </r>
    <r>
      <rPr>
        <sz val="10"/>
        <color rgb="FFFF0000"/>
        <rFont val="Times New Roman"/>
        <family val="1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</si>
</sst>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Vandværket Lyngen</v>
      </c>
      <c r="B1" s="56"/>
      <c r="C1" s="56"/>
      <c r="D1" s="56"/>
      <c r="E1" s="56"/>
    </row>
    <row r="2" spans="1:5" x14ac:dyDescent="0.25">
      <c r="A2" s="220" t="str">
        <f>'1. Forside'!A2</f>
        <v>V203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Vandværket Lyngen</v>
      </c>
      <c r="B1" s="26"/>
      <c r="C1" s="26"/>
      <c r="D1" s="26"/>
      <c r="E1" s="26"/>
    </row>
    <row r="2" spans="1:5" x14ac:dyDescent="0.25">
      <c r="A2" s="221" t="str">
        <f>'1. Forside'!A2</f>
        <v>V203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-74745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25255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Vandværket Lyngen</v>
      </c>
      <c r="B1" s="26"/>
      <c r="C1" s="26"/>
      <c r="D1" s="26"/>
      <c r="E1" s="26"/>
    </row>
    <row r="2" spans="1:5" x14ac:dyDescent="0.25">
      <c r="A2" s="221" t="str">
        <f>'1. Forside'!A2</f>
        <v>V203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-6130348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-3074320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-3056028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-611205.6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Vandværket Lyngen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5817471.5309895836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1399978.8282663131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145194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-66347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256667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1735492.8282663131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1867177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1300000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3167177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811521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-5556528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-157660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-5714188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2.8282663132995367</v>
      </c>
      <c r="D27" s="79" t="s">
        <v>0</v>
      </c>
      <c r="E27" s="10">
        <f>IF(C27&lt;0,0,-C27)</f>
        <v>-2.8282663132995367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751682</v>
      </c>
      <c r="D31" s="79" t="s">
        <v>0</v>
      </c>
      <c r="E31" s="10">
        <f>-C31</f>
        <v>-751682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5004615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5004615</v>
      </c>
      <c r="D36" s="79" t="s">
        <v>0</v>
      </c>
      <c r="E36" s="10">
        <f>-C36</f>
        <v>-5004615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61171.702723270282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Vandværket Lyngen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222876</v>
      </c>
      <c r="D7" s="222" t="s">
        <v>0</v>
      </c>
      <c r="E7" s="223">
        <v>674153</v>
      </c>
      <c r="F7" s="222" t="s">
        <v>0</v>
      </c>
      <c r="G7" s="223">
        <v>741742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753363</v>
      </c>
      <c r="F8" s="222" t="s">
        <v>0</v>
      </c>
      <c r="G8" s="224">
        <v>811521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222876</v>
      </c>
      <c r="D11" s="226" t="s">
        <v>0</v>
      </c>
      <c r="E11" s="55">
        <f>C11+E7-E8-E9</f>
        <v>143666</v>
      </c>
      <c r="F11" s="226" t="s">
        <v>0</v>
      </c>
      <c r="G11" s="55">
        <f>E11+G7-G8-G9</f>
        <v>73887</v>
      </c>
      <c r="H11" s="226" t="s">
        <v>0</v>
      </c>
      <c r="I11" s="55">
        <f>G11+I7-I8-I9</f>
        <v>73887</v>
      </c>
      <c r="J11" s="226" t="s">
        <v>0</v>
      </c>
      <c r="K11" s="55">
        <f>K7-K8-K9+K10+I11</f>
        <v>73887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Vandværket Lyngen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2090768.2251648954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-7944.9192556266025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-104538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1978285.3059092688</v>
      </c>
      <c r="D13" s="79" t="s">
        <v>0</v>
      </c>
      <c r="E13" s="6">
        <f>C13</f>
        <v>1978285.3059092688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1228664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investeringer'!F20</f>
        <v>389034.52666666667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18335.386666666687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investeringer'!F27</f>
        <v>226666.66666666669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1862700.58</v>
      </c>
      <c r="D19" s="79" t="s">
        <v>0</v>
      </c>
      <c r="E19" s="8">
        <f>C19</f>
        <v>1862700.58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84000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1959000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-126931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25255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2022324</v>
      </c>
      <c r="D29" s="79" t="s">
        <v>0</v>
      </c>
      <c r="E29" s="6">
        <f>C29</f>
        <v>2022324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-611205.6</v>
      </c>
      <c r="D31" s="79" t="s">
        <v>0</v>
      </c>
      <c r="E31" s="10">
        <f>C31</f>
        <v>-611205.6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61171.702723270282</v>
      </c>
      <c r="D33" s="79" t="s">
        <v>0</v>
      </c>
      <c r="E33" s="12">
        <f>C33</f>
        <v>61171.702723270282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5313275.9886325393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327213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16.237973395410755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10.251047448092036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Vandværket Lyngen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2090768.2251648954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2090768.2251648954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2090768.2251648954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-7944.9192556266025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Vandværket Lyngen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1083854.2479254818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2082823.3059092688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2090768.2251648954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696853.04944745963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104538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Vandværket Lyngen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54036390.772762828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1228664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1228664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Vandværket Lyngen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665328</v>
      </c>
      <c r="F8" s="34">
        <f t="shared" ref="F8" si="0">E8/D8</f>
        <v>66532.800000000003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1144803</v>
      </c>
      <c r="F9" s="34">
        <f t="shared" ref="F9:F17" si="1">E9/D9</f>
        <v>15264.04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2126063</v>
      </c>
      <c r="F10" s="34">
        <f t="shared" si="1"/>
        <v>28347.506666666668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75</v>
      </c>
      <c r="E11" s="32">
        <v>137763</v>
      </c>
      <c r="F11" s="34">
        <f t="shared" si="1"/>
        <v>1836.84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75</v>
      </c>
      <c r="E12" s="32">
        <v>206645</v>
      </c>
      <c r="F12" s="34">
        <f t="shared" si="1"/>
        <v>2755.2666666666669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2014</v>
      </c>
      <c r="D13" s="31">
        <v>10</v>
      </c>
      <c r="E13" s="32">
        <v>29798</v>
      </c>
      <c r="F13" s="34">
        <f t="shared" si="1"/>
        <v>2979.8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2014</v>
      </c>
      <c r="D14" s="31">
        <v>75</v>
      </c>
      <c r="E14" s="32">
        <v>571145</v>
      </c>
      <c r="F14" s="34">
        <f t="shared" si="1"/>
        <v>7615.2666666666664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2014</v>
      </c>
      <c r="D15" s="31">
        <v>75</v>
      </c>
      <c r="E15" s="32">
        <v>1621107</v>
      </c>
      <c r="F15" s="34">
        <f t="shared" si="1"/>
        <v>21614.76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30</v>
      </c>
      <c r="E16" s="32">
        <v>53875</v>
      </c>
      <c r="F16" s="34">
        <f t="shared" si="1"/>
        <v>1795.8333333333333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2014</v>
      </c>
      <c r="D17" s="31">
        <v>75</v>
      </c>
      <c r="E17" s="32">
        <v>156931</v>
      </c>
      <c r="F17" s="34">
        <f t="shared" si="1"/>
        <v>2092.4133333333334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150834.52666666667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238200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389034.52666666667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Vandværket Lyngen</v>
      </c>
      <c r="B1" s="162"/>
      <c r="C1" s="162"/>
      <c r="D1" s="162"/>
      <c r="E1" s="162"/>
    </row>
    <row r="2" spans="1:5" x14ac:dyDescent="0.25">
      <c r="A2" s="1" t="str">
        <f>'1. Forside'!A2</f>
        <v>V203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102667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180666.66666666666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150834.52666666667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18335.386666666687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Vandværket Lyngen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10</v>
      </c>
      <c r="E8" s="32">
        <v>650000</v>
      </c>
      <c r="F8" s="45">
        <f>E8/D8</f>
        <v>65000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2500000</v>
      </c>
      <c r="F9" s="45">
        <f t="shared" ref="F9:F24" si="0">E9/D9</f>
        <v>33333.333333333336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10</v>
      </c>
      <c r="E10" s="32">
        <v>50000</v>
      </c>
      <c r="F10" s="45">
        <f t="shared" si="0"/>
        <v>5000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75</v>
      </c>
      <c r="E11" s="32">
        <v>800000</v>
      </c>
      <c r="F11" s="45">
        <f t="shared" si="0"/>
        <v>10666.666666666666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2015</v>
      </c>
      <c r="D12" s="31">
        <v>75</v>
      </c>
      <c r="E12" s="32">
        <v>300000</v>
      </c>
      <c r="F12" s="45">
        <f t="shared" si="0"/>
        <v>4000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2015</v>
      </c>
      <c r="D13" s="31">
        <v>75</v>
      </c>
      <c r="E13" s="32">
        <v>200000</v>
      </c>
      <c r="F13" s="45">
        <f t="shared" si="0"/>
        <v>2666.6666666666665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2015</v>
      </c>
      <c r="D14" s="31">
        <v>75</v>
      </c>
      <c r="E14" s="32">
        <v>100000</v>
      </c>
      <c r="F14" s="45">
        <f t="shared" si="0"/>
        <v>1333.3333333333333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>
        <v>2015</v>
      </c>
      <c r="D15" s="31">
        <v>30</v>
      </c>
      <c r="E15" s="32">
        <v>100000</v>
      </c>
      <c r="F15" s="45">
        <f t="shared" si="0"/>
        <v>3333.3333333333335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2016</v>
      </c>
      <c r="D16" s="31">
        <v>30</v>
      </c>
      <c r="E16" s="32">
        <v>200000</v>
      </c>
      <c r="F16" s="45">
        <f t="shared" si="0"/>
        <v>6666.666666666667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2016</v>
      </c>
      <c r="D17" s="31">
        <v>30</v>
      </c>
      <c r="E17" s="32">
        <v>150000</v>
      </c>
      <c r="F17" s="45">
        <f t="shared" si="0"/>
        <v>5000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2016</v>
      </c>
      <c r="D18" s="31">
        <v>10</v>
      </c>
      <c r="E18" s="32">
        <v>50000</v>
      </c>
      <c r="F18" s="45">
        <f t="shared" si="0"/>
        <v>5000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2016</v>
      </c>
      <c r="D19" s="31">
        <v>10</v>
      </c>
      <c r="E19" s="32">
        <v>500000</v>
      </c>
      <c r="F19" s="45">
        <f t="shared" si="0"/>
        <v>50000</v>
      </c>
      <c r="G19" s="35" t="s">
        <v>0</v>
      </c>
      <c r="H19" s="26"/>
    </row>
    <row r="20" spans="1:8" s="148" customFormat="1" x14ac:dyDescent="0.25">
      <c r="A20" s="26"/>
      <c r="B20" s="29" t="s">
        <v>182</v>
      </c>
      <c r="C20" s="30">
        <v>2016</v>
      </c>
      <c r="D20" s="31">
        <v>75</v>
      </c>
      <c r="E20" s="32">
        <v>400000</v>
      </c>
      <c r="F20" s="45">
        <f t="shared" si="0"/>
        <v>5333.333333333333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>
        <v>2016</v>
      </c>
      <c r="D21" s="31">
        <v>75</v>
      </c>
      <c r="E21" s="32">
        <v>900000</v>
      </c>
      <c r="F21" s="45">
        <f t="shared" si="0"/>
        <v>12000</v>
      </c>
      <c r="G21" s="35" t="s">
        <v>0</v>
      </c>
      <c r="H21" s="26"/>
    </row>
    <row r="22" spans="1:8" s="148" customFormat="1" x14ac:dyDescent="0.25">
      <c r="A22" s="26"/>
      <c r="B22" s="29" t="s">
        <v>184</v>
      </c>
      <c r="C22" s="30">
        <v>2016</v>
      </c>
      <c r="D22" s="31">
        <v>75</v>
      </c>
      <c r="E22" s="32">
        <v>250000</v>
      </c>
      <c r="F22" s="45">
        <f t="shared" si="0"/>
        <v>3333.3333333333335</v>
      </c>
      <c r="G22" s="35" t="s">
        <v>0</v>
      </c>
      <c r="H22" s="26"/>
    </row>
    <row r="23" spans="1:8" s="148" customFormat="1" x14ac:dyDescent="0.25">
      <c r="A23" s="26"/>
      <c r="B23" s="29" t="s">
        <v>185</v>
      </c>
      <c r="C23" s="30">
        <v>2016</v>
      </c>
      <c r="D23" s="31">
        <v>75</v>
      </c>
      <c r="E23" s="32">
        <v>150000</v>
      </c>
      <c r="F23" s="45">
        <f t="shared" si="0"/>
        <v>2000</v>
      </c>
      <c r="G23" s="35" t="s">
        <v>0</v>
      </c>
      <c r="H23" s="26"/>
    </row>
    <row r="24" spans="1:8" s="148" customFormat="1" x14ac:dyDescent="0.25">
      <c r="A24" s="26"/>
      <c r="B24" s="29" t="s">
        <v>192</v>
      </c>
      <c r="C24" s="30">
        <v>2016</v>
      </c>
      <c r="D24" s="31">
        <v>10</v>
      </c>
      <c r="E24" s="32">
        <v>120000</v>
      </c>
      <c r="F24" s="45">
        <f t="shared" si="0"/>
        <v>12000</v>
      </c>
      <c r="G24" s="35" t="s">
        <v>0</v>
      </c>
      <c r="H24" s="26"/>
    </row>
    <row r="25" spans="1:8" s="148" customFormat="1" x14ac:dyDescent="0.25">
      <c r="A25" s="26"/>
      <c r="B25" s="109" t="s">
        <v>72</v>
      </c>
      <c r="C25" s="165"/>
      <c r="D25" s="166"/>
      <c r="E25" s="167"/>
      <c r="F25" s="46">
        <f>SUMIF(C8:C24,"2015",F8:F24)</f>
        <v>125333.33333333334</v>
      </c>
      <c r="G25" s="47" t="s">
        <v>0</v>
      </c>
      <c r="H25" s="26"/>
    </row>
    <row r="26" spans="1:8" s="148" customFormat="1" x14ac:dyDescent="0.25">
      <c r="A26" s="26"/>
      <c r="B26" s="107" t="s">
        <v>130</v>
      </c>
      <c r="C26" s="168"/>
      <c r="D26" s="169"/>
      <c r="E26" s="170"/>
      <c r="F26" s="46">
        <f>SUMIF(C8:C24,"2016",F8:F24)</f>
        <v>101333.33333333333</v>
      </c>
      <c r="G26" s="47" t="s">
        <v>0</v>
      </c>
      <c r="H26" s="26"/>
    </row>
    <row r="27" spans="1:8" s="148" customFormat="1" x14ac:dyDescent="0.25">
      <c r="A27" s="26"/>
      <c r="B27" s="50" t="s">
        <v>36</v>
      </c>
      <c r="C27" s="171"/>
      <c r="D27" s="172"/>
      <c r="E27" s="172"/>
      <c r="F27" s="48">
        <f>F25+F26</f>
        <v>226666.66666666669</v>
      </c>
      <c r="G27" s="49" t="s">
        <v>0</v>
      </c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173"/>
      <c r="G30" s="173"/>
      <c r="H30" s="26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t="12" hidden="1" customHeight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A8" sqref="A8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Vandværket Lyngen</v>
      </c>
      <c r="B1" s="56"/>
      <c r="C1" s="56"/>
      <c r="D1" s="176"/>
      <c r="E1" s="56"/>
    </row>
    <row r="2" spans="1:5" x14ac:dyDescent="0.25">
      <c r="A2" s="220" t="str">
        <f>'1. Forside'!A2</f>
        <v>V203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50000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84000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197</v>
      </c>
      <c r="C13" s="180">
        <v>1959000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1959000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46000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1794069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1921000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-126931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2015-09-17T15:07:56Z</dcterms:modified>
</cp:coreProperties>
</file>