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1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G36" i="13"/>
  <c r="F15" i="11" l="1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16" i="11"/>
  <c r="F10" i="11"/>
  <c r="F17" i="11" s="1"/>
  <c r="G29" i="12" s="1"/>
  <c r="G13" i="10"/>
  <c r="E15" i="2" s="1"/>
  <c r="G15" i="2" s="1"/>
  <c r="G12" i="9"/>
  <c r="G14" i="9" s="1"/>
  <c r="G9" i="9"/>
  <c r="G11" i="9" s="1"/>
  <c r="G12" i="7"/>
  <c r="G18" i="4"/>
  <c r="E23" i="2"/>
  <c r="G23" i="2" s="1"/>
  <c r="E11" i="4" l="1"/>
  <c r="E15" i="4"/>
  <c r="E10" i="4"/>
  <c r="E9" i="2"/>
  <c r="G9" i="8"/>
  <c r="G11" i="8" s="1"/>
  <c r="E11" i="2" s="1"/>
  <c r="E28" i="13"/>
  <c r="G28" i="13" s="1"/>
  <c r="G30" i="12"/>
  <c r="E20" i="2" s="1"/>
  <c r="E21" i="2" s="1"/>
  <c r="G21" i="2" s="1"/>
  <c r="G15" i="9"/>
  <c r="E12" i="2" s="1"/>
  <c r="E9" i="4" l="1"/>
  <c r="E13" i="2"/>
  <c r="G13" i="2" s="1"/>
  <c r="G24" i="2" s="1"/>
  <c r="E13" i="4" l="1"/>
  <c r="E14" i="4"/>
  <c r="E16" i="4" l="1"/>
  <c r="G16" i="4"/>
  <c r="G19" i="4" s="1"/>
</calcChain>
</file>

<file path=xl/sharedStrings.xml><?xml version="1.0" encoding="utf-8"?>
<sst xmlns="http://schemas.openxmlformats.org/spreadsheetml/2006/main" count="240" uniqueCount="124">
  <si>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</si>
  <si>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</si>
  <si>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</si>
  <si>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</si>
  <si>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</si>
  <si>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</si>
  <si>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</si>
  <si>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</si>
  <si>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</si>
  <si>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</si>
  <si>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</si>
  <si>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</si>
  <si>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</si>
  <si>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</si>
  <si>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</si>
  <si>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</si>
  <si>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</si>
  <si>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</si>
  <si>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</si>
  <si>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</si>
  <si>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</si>
  <si>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</si>
  <si>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</si>
  <si>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</si>
  <si>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</si>
  <si>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</si>
  <si>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</si>
  <si>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</si>
  <si>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</si>
  <si>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</si>
  <si>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</si>
  <si>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</si>
  <si>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</si>
  <si>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</si>
  <si>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</si>
  <si>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</si>
  <si>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</si>
  <si>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</si>
  <si>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</si>
  <si>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</si>
  <si>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</si>
  <si>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</si>
  <si>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</si>
  <si>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</si>
  <si>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</si>
  <si>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</si>
  <si>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</si>
  <si>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</si>
  <si>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</si>
  <si>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</si>
  <si>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</si>
  <si>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</si>
  <si>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</si>
  <si>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</si>
  <si>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</si>
  <si>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</si>
  <si>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</si>
  <si>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</si>
  <si>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</si>
  <si>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</si>
  <si>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</si>
  <si>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</si>
  <si>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</si>
  <si>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</si>
  <si>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</si>
  <si>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</si>
  <si>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</si>
  <si>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</si>
  <si>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</si>
  <si>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</si>
  <si>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</si>
  <si>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</si>
  <si>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</si>
  <si>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</si>
  <si>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</si>
  <si>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</si>
  <si>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</si>
  <si>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</si>
  <si>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</si>
  <si>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</si>
  <si>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</si>
  <si>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</si>
  <si>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</si>
  <si>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</si>
  <si>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</si>
  <si>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</si>
  <si>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</si>
  <si>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</si>
  <si>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</si>
  <si>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</si>
  <si>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</si>
  <si>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</si>
  <si>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</si>
  <si>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</si>
  <si>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</si>
  <si>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</si>
  <si>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</si>
  <si>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</si>
  <si>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</si>
  <si>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</si>
  <si>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</si>
  <si>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</si>
  <si>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</si>
  <si>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</si>
  <si>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</si>
  <si>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</si>
  <si>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</si>
  <si>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</si>
  <si>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</si>
  <si>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</si>
  <si>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</si>
  <si>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</si>
  <si>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</si>
  <si>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Køretøjer, personbil</t>
  </si>
  <si>
    <t>SRO anlæg</t>
  </si>
  <si>
    <t>Ledningsnet ≤ Ø50 mm</t>
  </si>
  <si>
    <t>Ø 50mm &lt; Ledningsnet ≤ Ø110 mm</t>
  </si>
  <si>
    <t>Ø110 mm &lt; Ledningsnet ≤ Ø 250 mm</t>
  </si>
  <si>
    <t>Ø 250 mm &lt; Ledningsnet ≤ Ø 500mm</t>
  </si>
  <si>
    <t>Filteranlæg, åbne filtre, dobbelt filtrering, Mek./EL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</si>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</sst>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8" t="s">
        <v>6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2" t="s">
        <v>45</v>
      </c>
      <c r="C8" s="73"/>
      <c r="D8" s="73"/>
      <c r="E8" s="73"/>
      <c r="F8" s="73"/>
      <c r="G8" s="73"/>
      <c r="H8" s="74"/>
      <c r="I8" s="1"/>
    </row>
    <row r="9" spans="1:9" x14ac:dyDescent="0.25">
      <c r="A9" s="1"/>
      <c r="B9" s="83" t="s">
        <v>47</v>
      </c>
      <c r="C9" s="84"/>
      <c r="D9" s="84"/>
      <c r="E9" s="84"/>
      <c r="F9" s="85"/>
      <c r="G9" s="35">
        <v>22951474</v>
      </c>
      <c r="H9" s="16" t="s">
        <v>4</v>
      </c>
      <c r="I9" s="1"/>
    </row>
    <row r="10" spans="1:9" x14ac:dyDescent="0.25">
      <c r="A10" s="1"/>
      <c r="B10" s="72" t="s">
        <v>48</v>
      </c>
      <c r="C10" s="73"/>
      <c r="D10" s="73"/>
      <c r="E10" s="73"/>
      <c r="F10" s="73"/>
      <c r="G10" s="73"/>
      <c r="H10" s="74"/>
      <c r="I10" s="1"/>
    </row>
    <row r="11" spans="1:9" x14ac:dyDescent="0.25">
      <c r="A11" s="1"/>
      <c r="B11" s="76" t="s">
        <v>49</v>
      </c>
      <c r="C11" s="77"/>
      <c r="D11" s="78"/>
      <c r="E11" s="37">
        <v>4527693</v>
      </c>
      <c r="F11" s="10" t="s">
        <v>4</v>
      </c>
      <c r="G11" s="19"/>
      <c r="H11" s="25"/>
      <c r="I11" s="1"/>
    </row>
    <row r="12" spans="1:9" x14ac:dyDescent="0.25">
      <c r="A12" s="1"/>
      <c r="B12" s="76" t="s">
        <v>50</v>
      </c>
      <c r="C12" s="77"/>
      <c r="D12" s="78"/>
      <c r="E12" s="37">
        <v>417414</v>
      </c>
      <c r="F12" s="10" t="s">
        <v>4</v>
      </c>
      <c r="G12" s="13"/>
      <c r="H12" s="26"/>
      <c r="I12" s="1"/>
    </row>
    <row r="13" spans="1:9" x14ac:dyDescent="0.25">
      <c r="A13" s="1"/>
      <c r="B13" s="76" t="s">
        <v>51</v>
      </c>
      <c r="C13" s="77"/>
      <c r="D13" s="78"/>
      <c r="E13" s="37">
        <v>88466</v>
      </c>
      <c r="F13" s="10" t="s">
        <v>4</v>
      </c>
      <c r="G13" s="13"/>
      <c r="H13" s="26"/>
      <c r="I13" s="1"/>
    </row>
    <row r="14" spans="1:9" x14ac:dyDescent="0.25">
      <c r="A14" s="1"/>
      <c r="B14" s="76" t="s">
        <v>52</v>
      </c>
      <c r="C14" s="77"/>
      <c r="D14" s="78"/>
      <c r="E14" s="37">
        <v>330733</v>
      </c>
      <c r="F14" s="10" t="s">
        <v>4</v>
      </c>
      <c r="G14" s="13"/>
      <c r="H14" s="26"/>
      <c r="I14" s="1"/>
    </row>
    <row r="15" spans="1:9" x14ac:dyDescent="0.25">
      <c r="A15" s="1"/>
      <c r="B15" s="83" t="s">
        <v>53</v>
      </c>
      <c r="C15" s="84"/>
      <c r="D15" s="85"/>
      <c r="E15" s="32">
        <f>SUM(E11:E14)</f>
        <v>5364306</v>
      </c>
      <c r="F15" s="16" t="s">
        <v>4</v>
      </c>
      <c r="G15" s="13"/>
      <c r="H15" s="26"/>
      <c r="I15" s="1"/>
    </row>
    <row r="16" spans="1:9" x14ac:dyDescent="0.25">
      <c r="A16" s="1"/>
      <c r="B16" s="76" t="s">
        <v>54</v>
      </c>
      <c r="C16" s="77"/>
      <c r="D16" s="78"/>
      <c r="E16" s="37">
        <v>621834</v>
      </c>
      <c r="F16" s="10" t="s">
        <v>4</v>
      </c>
      <c r="G16" s="13"/>
      <c r="H16" s="26"/>
      <c r="I16" s="1"/>
    </row>
    <row r="17" spans="1:9" x14ac:dyDescent="0.25">
      <c r="A17" s="1"/>
      <c r="B17" s="76" t="s">
        <v>55</v>
      </c>
      <c r="C17" s="77"/>
      <c r="D17" s="78"/>
      <c r="E17" s="37">
        <v>0</v>
      </c>
      <c r="F17" s="10" t="s">
        <v>4</v>
      </c>
      <c r="G17" s="13"/>
      <c r="H17" s="26"/>
      <c r="I17" s="1"/>
    </row>
    <row r="18" spans="1:9" x14ac:dyDescent="0.25">
      <c r="A18" s="1"/>
      <c r="B18" s="76" t="s">
        <v>56</v>
      </c>
      <c r="C18" s="77"/>
      <c r="D18" s="78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3" t="s">
        <v>57</v>
      </c>
      <c r="C19" s="84"/>
      <c r="D19" s="85"/>
      <c r="E19" s="32">
        <f>SUM(E16:E18)</f>
        <v>621834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9" t="s">
        <v>58</v>
      </c>
      <c r="C20" s="70"/>
      <c r="D20" s="71"/>
      <c r="E20" s="37">
        <v>-317762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9" t="s">
        <v>59</v>
      </c>
      <c r="C21" s="70"/>
      <c r="D21" s="71"/>
      <c r="E21" s="37">
        <v>-5459444</v>
      </c>
      <c r="F21" s="10" t="s">
        <v>4</v>
      </c>
      <c r="G21" s="13"/>
      <c r="H21" s="26"/>
      <c r="I21" s="1"/>
    </row>
    <row r="22" spans="1:9" x14ac:dyDescent="0.25">
      <c r="A22" s="1"/>
      <c r="B22" s="76" t="s">
        <v>60</v>
      </c>
      <c r="C22" s="77"/>
      <c r="D22" s="78"/>
      <c r="E22" s="37">
        <v>-465150</v>
      </c>
      <c r="F22" s="10" t="s">
        <v>4</v>
      </c>
      <c r="G22" s="13"/>
      <c r="H22" s="26"/>
      <c r="I22" s="1"/>
    </row>
    <row r="23" spans="1:9" x14ac:dyDescent="0.25">
      <c r="A23" s="1"/>
      <c r="B23" s="76" t="s">
        <v>61</v>
      </c>
      <c r="C23" s="77"/>
      <c r="D23" s="78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9" t="s">
        <v>62</v>
      </c>
      <c r="C24" s="70"/>
      <c r="D24" s="71"/>
      <c r="E24" s="37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9" t="s">
        <v>63</v>
      </c>
      <c r="C25" s="70"/>
      <c r="D25" s="71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9" t="s">
        <v>64</v>
      </c>
      <c r="C26" s="70"/>
      <c r="D26" s="71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3" t="s">
        <v>65</v>
      </c>
      <c r="C27" s="84"/>
      <c r="D27" s="85"/>
      <c r="E27" s="32">
        <f>SUM(E20:E26)</f>
        <v>-6242356</v>
      </c>
      <c r="F27" s="16" t="s">
        <v>4</v>
      </c>
      <c r="G27" s="14"/>
      <c r="H27" s="27"/>
      <c r="I27" s="1"/>
    </row>
    <row r="28" spans="1:9" x14ac:dyDescent="0.25">
      <c r="A28" s="1"/>
      <c r="B28" s="83" t="s">
        <v>66</v>
      </c>
      <c r="C28" s="84"/>
      <c r="D28" s="85"/>
      <c r="E28" s="32">
        <f>E15+E19+E27</f>
        <v>-256216</v>
      </c>
      <c r="F28" s="16" t="s">
        <v>4</v>
      </c>
      <c r="G28" s="31">
        <f>IF(E28&lt;0,0,-E28)</f>
        <v>0</v>
      </c>
      <c r="H28" s="16" t="s">
        <v>4</v>
      </c>
      <c r="I28" s="1"/>
    </row>
    <row r="29" spans="1:9" x14ac:dyDescent="0.25">
      <c r="A29" s="1"/>
      <c r="B29" s="72" t="s">
        <v>67</v>
      </c>
      <c r="C29" s="73"/>
      <c r="D29" s="73"/>
      <c r="E29" s="73"/>
      <c r="F29" s="73"/>
      <c r="G29" s="73"/>
      <c r="H29" s="74"/>
      <c r="I29" s="1"/>
    </row>
    <row r="30" spans="1:9" x14ac:dyDescent="0.25">
      <c r="A30" s="1"/>
      <c r="B30" s="83" t="s">
        <v>67</v>
      </c>
      <c r="C30" s="84"/>
      <c r="D30" s="85"/>
      <c r="E30" s="35">
        <v>0</v>
      </c>
      <c r="F30" s="16" t="s">
        <v>4</v>
      </c>
      <c r="G30" s="32">
        <f>-$E$30</f>
        <v>0</v>
      </c>
      <c r="H30" s="16" t="s">
        <v>4</v>
      </c>
      <c r="I30" s="1"/>
    </row>
    <row r="31" spans="1:9" x14ac:dyDescent="0.25">
      <c r="A31" s="1"/>
      <c r="B31" s="99" t="s">
        <v>121</v>
      </c>
      <c r="C31" s="73"/>
      <c r="D31" s="73"/>
      <c r="E31" s="73"/>
      <c r="F31" s="73"/>
      <c r="G31" s="73"/>
      <c r="H31" s="74"/>
      <c r="I31" s="1"/>
    </row>
    <row r="32" spans="1:9" ht="30" customHeight="1" x14ac:dyDescent="0.25">
      <c r="A32" s="1"/>
      <c r="B32" s="69" t="s">
        <v>122</v>
      </c>
      <c r="C32" s="70"/>
      <c r="D32" s="71"/>
      <c r="E32" s="37">
        <v>21927320</v>
      </c>
      <c r="F32" s="10" t="s">
        <v>4</v>
      </c>
      <c r="G32" s="19"/>
      <c r="H32" s="25"/>
      <c r="I32" s="1"/>
    </row>
    <row r="33" spans="1:9" x14ac:dyDescent="0.25">
      <c r="A33" s="1"/>
      <c r="B33" s="76" t="s">
        <v>68</v>
      </c>
      <c r="C33" s="77"/>
      <c r="D33" s="78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9" t="s">
        <v>69</v>
      </c>
      <c r="C34" s="70"/>
      <c r="D34" s="71"/>
      <c r="E34" s="37">
        <v>1434363</v>
      </c>
      <c r="F34" s="10" t="s">
        <v>4</v>
      </c>
      <c r="G34" s="14"/>
      <c r="H34" s="27"/>
      <c r="I34" s="1"/>
    </row>
    <row r="35" spans="1:9" x14ac:dyDescent="0.25">
      <c r="A35" s="1"/>
      <c r="B35" s="83" t="s">
        <v>70</v>
      </c>
      <c r="C35" s="84"/>
      <c r="D35" s="85"/>
      <c r="E35" s="32">
        <f>SUM(E32:E34)</f>
        <v>23361683</v>
      </c>
      <c r="F35" s="16" t="s">
        <v>4</v>
      </c>
      <c r="G35" s="32">
        <f>-E35</f>
        <v>-23361683</v>
      </c>
      <c r="H35" s="16" t="s">
        <v>4</v>
      </c>
      <c r="I35" s="1"/>
    </row>
    <row r="36" spans="1:9" x14ac:dyDescent="0.25">
      <c r="A36" s="1"/>
      <c r="B36" s="72" t="s">
        <v>46</v>
      </c>
      <c r="C36" s="73"/>
      <c r="D36" s="73"/>
      <c r="E36" s="73"/>
      <c r="F36" s="74"/>
      <c r="G36" s="33">
        <f>$G$9+$G$28+$G$30+$G$35</f>
        <v>-410209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123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2" t="s">
        <v>109</v>
      </c>
      <c r="C8" s="73"/>
      <c r="D8" s="73"/>
      <c r="E8" s="73"/>
      <c r="F8" s="73"/>
      <c r="G8" s="73"/>
      <c r="H8" s="74"/>
      <c r="I8" s="1"/>
    </row>
    <row r="9" spans="1:9" ht="30" customHeight="1" x14ac:dyDescent="0.25">
      <c r="A9" s="1"/>
      <c r="B9" s="69" t="s">
        <v>31</v>
      </c>
      <c r="C9" s="70"/>
      <c r="D9" s="71"/>
      <c r="E9" s="34">
        <f>'Fane 3. Grundlag'!G12</f>
        <v>25434184.50969857</v>
      </c>
      <c r="F9" s="7" t="s">
        <v>4</v>
      </c>
      <c r="G9" s="8"/>
      <c r="H9" s="9"/>
      <c r="I9" s="1"/>
    </row>
    <row r="10" spans="1:9" x14ac:dyDescent="0.25">
      <c r="A10" s="1"/>
      <c r="B10" s="82" t="s">
        <v>97</v>
      </c>
      <c r="C10" s="77"/>
      <c r="D10" s="78"/>
      <c r="E10" s="20">
        <f>'Fane 3. Grundlag'!G11</f>
        <v>10556188.78340832</v>
      </c>
      <c r="F10" s="7" t="s">
        <v>4</v>
      </c>
      <c r="G10" s="11"/>
      <c r="H10" s="12"/>
      <c r="I10" s="1"/>
    </row>
    <row r="11" spans="1:9" x14ac:dyDescent="0.25">
      <c r="A11" s="1"/>
      <c r="B11" s="76" t="s">
        <v>25</v>
      </c>
      <c r="C11" s="77"/>
      <c r="D11" s="78"/>
      <c r="E11" s="20">
        <f>'Fane 4. Individuelt eff.krav'!G11</f>
        <v>191523.36898638826</v>
      </c>
      <c r="F11" s="7" t="s">
        <v>4</v>
      </c>
      <c r="G11" s="13"/>
      <c r="H11" s="12"/>
      <c r="I11" s="1"/>
    </row>
    <row r="12" spans="1:9" x14ac:dyDescent="0.25">
      <c r="A12" s="1"/>
      <c r="B12" s="76" t="s">
        <v>26</v>
      </c>
      <c r="C12" s="77"/>
      <c r="D12" s="78"/>
      <c r="E12" s="20">
        <f>'Fane 5. Generelt eff.krav'!G15</f>
        <v>233958.83924776298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2">
        <f>$E$9-$E$11-$E$12</f>
        <v>25008702.30146442</v>
      </c>
      <c r="F13" s="17" t="s">
        <v>4</v>
      </c>
      <c r="G13" s="32">
        <f>E13</f>
        <v>25008702.30146442</v>
      </c>
      <c r="H13" s="17" t="s">
        <v>4</v>
      </c>
      <c r="I13" s="1"/>
    </row>
    <row r="14" spans="1:9" x14ac:dyDescent="0.25">
      <c r="A14" s="1"/>
      <c r="B14" s="72" t="s">
        <v>32</v>
      </c>
      <c r="C14" s="73"/>
      <c r="D14" s="73"/>
      <c r="E14" s="73"/>
      <c r="F14" s="73"/>
      <c r="G14" s="73"/>
      <c r="H14" s="74"/>
      <c r="I14" s="1"/>
    </row>
    <row r="15" spans="1:9" x14ac:dyDescent="0.25">
      <c r="A15" s="1"/>
      <c r="B15" s="79" t="s">
        <v>108</v>
      </c>
      <c r="C15" s="80"/>
      <c r="D15" s="81"/>
      <c r="E15" s="32">
        <f>'Fane 6. Hist. over el. underdæk'!G13</f>
        <v>-1186748.25</v>
      </c>
      <c r="F15" s="17" t="s">
        <v>4</v>
      </c>
      <c r="G15" s="32">
        <f>E15</f>
        <v>-1186748.25</v>
      </c>
      <c r="H15" s="17" t="s">
        <v>4</v>
      </c>
      <c r="I15" s="1"/>
    </row>
    <row r="16" spans="1:9" x14ac:dyDescent="0.25">
      <c r="A16" s="1"/>
      <c r="B16" s="72" t="s">
        <v>28</v>
      </c>
      <c r="C16" s="73"/>
      <c r="D16" s="73"/>
      <c r="E16" s="73"/>
      <c r="F16" s="73"/>
      <c r="G16" s="73"/>
      <c r="H16" s="74"/>
      <c r="I16" s="1"/>
    </row>
    <row r="17" spans="1:9" x14ac:dyDescent="0.25">
      <c r="A17" s="1"/>
      <c r="B17" s="69" t="s">
        <v>35</v>
      </c>
      <c r="C17" s="70"/>
      <c r="D17" s="71"/>
      <c r="E17" s="20">
        <f>'Fane 8. Korrektion af PL2015'!G11</f>
        <v>121968</v>
      </c>
      <c r="F17" s="7" t="s">
        <v>4</v>
      </c>
      <c r="G17" s="19"/>
      <c r="H17" s="9"/>
      <c r="I17" s="1"/>
    </row>
    <row r="18" spans="1:9" x14ac:dyDescent="0.25">
      <c r="A18" s="1"/>
      <c r="B18" s="69" t="s">
        <v>36</v>
      </c>
      <c r="C18" s="70"/>
      <c r="D18" s="71"/>
      <c r="E18" s="20">
        <f>'Fane 8. Korrektion af PL2015'!G17</f>
        <v>221336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69" t="s">
        <v>98</v>
      </c>
      <c r="C19" s="70"/>
      <c r="D19" s="71"/>
      <c r="E19" s="20">
        <f>'Fane 8. Korrektion af PL2015'!G23</f>
        <v>7818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69" t="s">
        <v>37</v>
      </c>
      <c r="C20" s="70"/>
      <c r="D20" s="71"/>
      <c r="E20" s="20">
        <f>'Fane 8. Korrektion af PL2015'!G30</f>
        <v>49229.719999999972</v>
      </c>
      <c r="F20" s="7" t="s">
        <v>4</v>
      </c>
      <c r="G20" s="14"/>
      <c r="H20" s="15"/>
      <c r="I20" s="1"/>
    </row>
    <row r="21" spans="1:9" x14ac:dyDescent="0.25">
      <c r="A21" s="1"/>
      <c r="B21" s="79" t="s">
        <v>38</v>
      </c>
      <c r="C21" s="80"/>
      <c r="D21" s="81"/>
      <c r="E21" s="32">
        <f>SUM(E17:E20)</f>
        <v>400351.72</v>
      </c>
      <c r="F21" s="17" t="s">
        <v>4</v>
      </c>
      <c r="G21" s="32">
        <f>E21</f>
        <v>400351.72</v>
      </c>
      <c r="H21" s="17" t="s">
        <v>4</v>
      </c>
      <c r="I21" s="1"/>
    </row>
    <row r="22" spans="1:9" x14ac:dyDescent="0.25">
      <c r="A22" s="1"/>
      <c r="B22" s="72" t="s">
        <v>33</v>
      </c>
      <c r="C22" s="73"/>
      <c r="D22" s="73"/>
      <c r="E22" s="73"/>
      <c r="F22" s="73"/>
      <c r="G22" s="73"/>
      <c r="H22" s="74"/>
      <c r="I22" s="1"/>
    </row>
    <row r="23" spans="1:9" x14ac:dyDescent="0.25">
      <c r="A23" s="1"/>
      <c r="B23" s="79" t="s">
        <v>34</v>
      </c>
      <c r="C23" s="80"/>
      <c r="D23" s="81"/>
      <c r="E23" s="32">
        <f>'Fane 9. Kontrol af PL2015'!G36</f>
        <v>-410209</v>
      </c>
      <c r="F23" s="17" t="s">
        <v>4</v>
      </c>
      <c r="G23" s="32">
        <f>E23</f>
        <v>-410209</v>
      </c>
      <c r="H23" s="17" t="s">
        <v>4</v>
      </c>
      <c r="I23" s="1"/>
    </row>
    <row r="24" spans="1:9" x14ac:dyDescent="0.25">
      <c r="A24" s="1"/>
      <c r="B24" s="72" t="s">
        <v>39</v>
      </c>
      <c r="C24" s="73"/>
      <c r="D24" s="73"/>
      <c r="E24" s="73"/>
      <c r="F24" s="74"/>
      <c r="G24" s="33">
        <f>G13+G15+G21+G23</f>
        <v>23812096.771464419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10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2" t="s">
        <v>109</v>
      </c>
      <c r="C8" s="73"/>
      <c r="D8" s="73"/>
      <c r="E8" s="73"/>
      <c r="F8" s="73"/>
      <c r="G8" s="73"/>
      <c r="H8" s="74"/>
      <c r="I8" s="1"/>
    </row>
    <row r="9" spans="1:9" x14ac:dyDescent="0.25">
      <c r="A9" s="1"/>
      <c r="B9" s="69" t="s">
        <v>40</v>
      </c>
      <c r="C9" s="70"/>
      <c r="D9" s="71"/>
      <c r="E9" s="36">
        <f>'Fane 2.1. Økonomisk ramme 2017'!$E$9-'Fane 2.1. Økonomisk ramme 2017'!$E$11-'Fane 2.1. Økonomisk ramme 2017'!$E$12</f>
        <v>25008702.30146442</v>
      </c>
      <c r="F9" s="7" t="s">
        <v>4</v>
      </c>
      <c r="G9" s="8"/>
      <c r="H9" s="9"/>
      <c r="I9" s="1"/>
    </row>
    <row r="10" spans="1:9" x14ac:dyDescent="0.25">
      <c r="A10" s="1"/>
      <c r="B10" s="82" t="s">
        <v>110</v>
      </c>
      <c r="C10" s="86"/>
      <c r="D10" s="87"/>
      <c r="E10" s="37">
        <f>'Fane 3. Grundlag'!$G$9*(1-'Fane 4. Individuelt eff.krav'!$G$10/100)-'Fane 5. Generelt eff.krav'!G$11</f>
        <v>8745763.6625487395</v>
      </c>
      <c r="F10" s="7" t="s">
        <v>4</v>
      </c>
      <c r="G10" s="11"/>
      <c r="H10" s="12"/>
      <c r="I10" s="1"/>
    </row>
    <row r="11" spans="1:9" x14ac:dyDescent="0.25">
      <c r="A11" s="1"/>
      <c r="B11" s="82" t="s">
        <v>111</v>
      </c>
      <c r="C11" s="86"/>
      <c r="D11" s="87"/>
      <c r="E11" s="37">
        <f>'Fane 3. Grundlag'!$G$10*(1-'Fane 4. Individuelt eff.krav'!$G$10/100)-'Fane 5. Generelt eff.krav'!G$14</f>
        <v>5706749.8555073608</v>
      </c>
      <c r="F11" s="7" t="s">
        <v>4</v>
      </c>
      <c r="G11" s="11"/>
      <c r="H11" s="12"/>
      <c r="I11" s="1"/>
    </row>
    <row r="12" spans="1:9" x14ac:dyDescent="0.25">
      <c r="A12" s="1"/>
      <c r="B12" s="82" t="s">
        <v>97</v>
      </c>
      <c r="C12" s="86"/>
      <c r="D12" s="87"/>
      <c r="E12" s="37">
        <f>'Fane 2.1. Økonomisk ramme 2017'!$E$10</f>
        <v>10556188.78340832</v>
      </c>
      <c r="F12" s="7" t="s">
        <v>4</v>
      </c>
      <c r="G12" s="11"/>
      <c r="H12" s="12"/>
      <c r="I12" s="1"/>
    </row>
    <row r="13" spans="1:9" x14ac:dyDescent="0.25">
      <c r="A13" s="1"/>
      <c r="B13" s="76" t="s">
        <v>41</v>
      </c>
      <c r="C13" s="77"/>
      <c r="D13" s="78"/>
      <c r="E13" s="37">
        <f>$E$9*0.0127</f>
        <v>317610.5192285981</v>
      </c>
      <c r="F13" s="7" t="s">
        <v>4</v>
      </c>
      <c r="G13" s="13"/>
      <c r="H13" s="12"/>
      <c r="I13" s="1"/>
    </row>
    <row r="14" spans="1:9" x14ac:dyDescent="0.25">
      <c r="A14" s="1"/>
      <c r="B14" s="76" t="s">
        <v>25</v>
      </c>
      <c r="C14" s="77"/>
      <c r="D14" s="78"/>
      <c r="E14" s="37">
        <f>('Fane 2.2. Økonomisk ramme 2018'!$E$9-'Fane 2.2. Økonomisk ramme 2018'!$E$12)*1.0127*'Fane 4. Individuelt eff.krav'!$G$10/100</f>
        <v>188408.9534421096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232777.63433738542</v>
      </c>
      <c r="F15" s="7" t="s">
        <v>4</v>
      </c>
      <c r="G15" s="14"/>
      <c r="H15" s="15"/>
      <c r="I15" s="1"/>
    </row>
    <row r="16" spans="1:9" x14ac:dyDescent="0.25">
      <c r="A16" s="1"/>
      <c r="B16" s="83" t="s">
        <v>43</v>
      </c>
      <c r="C16" s="84"/>
      <c r="D16" s="85"/>
      <c r="E16" s="32">
        <f>$E$9+$E$13-$E$14-$E$15</f>
        <v>24905126.232913524</v>
      </c>
      <c r="F16" s="17" t="s">
        <v>4</v>
      </c>
      <c r="G16" s="32">
        <f>E16</f>
        <v>24905126.232913524</v>
      </c>
      <c r="H16" s="17" t="s">
        <v>4</v>
      </c>
      <c r="I16" s="1"/>
    </row>
    <row r="17" spans="1:9" x14ac:dyDescent="0.25">
      <c r="A17" s="1"/>
      <c r="B17" s="72" t="s">
        <v>32</v>
      </c>
      <c r="C17" s="73"/>
      <c r="D17" s="73"/>
      <c r="E17" s="73"/>
      <c r="F17" s="73"/>
      <c r="G17" s="73"/>
      <c r="H17" s="74"/>
      <c r="I17" s="1"/>
    </row>
    <row r="18" spans="1:9" ht="15" customHeight="1" x14ac:dyDescent="0.25">
      <c r="A18" s="1"/>
      <c r="B18" s="79" t="s">
        <v>108</v>
      </c>
      <c r="C18" s="80"/>
      <c r="D18" s="81"/>
      <c r="E18" s="35">
        <f>IF('Fane 6. Hist. over el. underdæk'!$G$12&gt;1,'Fane 6. Hist. over el. underdæk'!$G$13,0)</f>
        <v>-1186748.25</v>
      </c>
      <c r="F18" s="17" t="s">
        <v>4</v>
      </c>
      <c r="G18" s="32">
        <f>E18</f>
        <v>-1186748.25</v>
      </c>
      <c r="H18" s="17" t="s">
        <v>4</v>
      </c>
      <c r="I18" s="1"/>
    </row>
    <row r="19" spans="1:9" x14ac:dyDescent="0.25">
      <c r="A19" s="1"/>
      <c r="B19" s="72" t="s">
        <v>42</v>
      </c>
      <c r="C19" s="73"/>
      <c r="D19" s="73"/>
      <c r="E19" s="73"/>
      <c r="F19" s="74"/>
      <c r="G19" s="33">
        <f>G16+G18</f>
        <v>23718377.982913524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9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2" t="s">
        <v>44</v>
      </c>
      <c r="C8" s="73"/>
      <c r="D8" s="73"/>
      <c r="E8" s="73"/>
      <c r="F8" s="73"/>
      <c r="G8" s="73"/>
      <c r="H8" s="74"/>
      <c r="I8" s="1"/>
    </row>
    <row r="9" spans="1:9" x14ac:dyDescent="0.25">
      <c r="A9" s="1"/>
      <c r="B9" s="76" t="s">
        <v>99</v>
      </c>
      <c r="C9" s="77"/>
      <c r="D9" s="77"/>
      <c r="E9" s="77"/>
      <c r="F9" s="78"/>
      <c r="G9" s="37">
        <v>9043034.6916074939</v>
      </c>
      <c r="H9" s="10" t="s">
        <v>4</v>
      </c>
      <c r="I9" s="1"/>
    </row>
    <row r="10" spans="1:9" x14ac:dyDescent="0.25">
      <c r="A10" s="1"/>
      <c r="B10" s="76" t="s">
        <v>100</v>
      </c>
      <c r="C10" s="77"/>
      <c r="D10" s="77"/>
      <c r="E10" s="77"/>
      <c r="F10" s="78"/>
      <c r="G10" s="37">
        <v>5834961.0346827572</v>
      </c>
      <c r="H10" s="10" t="s">
        <v>4</v>
      </c>
      <c r="I10" s="1"/>
    </row>
    <row r="11" spans="1:9" x14ac:dyDescent="0.25">
      <c r="A11" s="1"/>
      <c r="B11" s="76" t="s">
        <v>101</v>
      </c>
      <c r="C11" s="77"/>
      <c r="D11" s="77"/>
      <c r="E11" s="77"/>
      <c r="F11" s="78"/>
      <c r="G11" s="37">
        <v>10556188.78340832</v>
      </c>
      <c r="H11" s="10" t="s">
        <v>4</v>
      </c>
      <c r="I11" s="1"/>
    </row>
    <row r="12" spans="1:9" x14ac:dyDescent="0.25">
      <c r="A12" s="1"/>
      <c r="B12" s="72" t="s">
        <v>44</v>
      </c>
      <c r="C12" s="73"/>
      <c r="D12" s="73"/>
      <c r="E12" s="73"/>
      <c r="F12" s="74"/>
      <c r="G12" s="33">
        <f>SUM(G9:G11)</f>
        <v>25434184.50969857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27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2" t="s">
        <v>25</v>
      </c>
      <c r="C8" s="73"/>
      <c r="D8" s="73"/>
      <c r="E8" s="73"/>
      <c r="F8" s="73"/>
      <c r="G8" s="73"/>
      <c r="H8" s="74"/>
      <c r="I8" s="1"/>
    </row>
    <row r="9" spans="1:9" x14ac:dyDescent="0.25">
      <c r="A9" s="1"/>
      <c r="B9" s="76" t="s">
        <v>103</v>
      </c>
      <c r="C9" s="77"/>
      <c r="D9" s="77"/>
      <c r="E9" s="77"/>
      <c r="F9" s="78"/>
      <c r="G9" s="20">
        <f>'Fane 3. Grundlag'!G12-'Fane 3. Grundlag'!G11</f>
        <v>14877995.72629025</v>
      </c>
      <c r="H9" s="10" t="s">
        <v>4</v>
      </c>
      <c r="I9" s="1"/>
    </row>
    <row r="10" spans="1:9" x14ac:dyDescent="0.25">
      <c r="A10" s="1"/>
      <c r="B10" s="76" t="s">
        <v>71</v>
      </c>
      <c r="C10" s="77"/>
      <c r="D10" s="77"/>
      <c r="E10" s="77"/>
      <c r="F10" s="78"/>
      <c r="G10" s="44">
        <v>1.2872928081835362</v>
      </c>
      <c r="H10" s="10" t="s">
        <v>72</v>
      </c>
      <c r="I10" s="1"/>
    </row>
    <row r="11" spans="1:9" x14ac:dyDescent="0.25">
      <c r="A11" s="1"/>
      <c r="B11" s="72" t="s">
        <v>25</v>
      </c>
      <c r="C11" s="73"/>
      <c r="D11" s="73"/>
      <c r="E11" s="73"/>
      <c r="F11" s="74"/>
      <c r="G11" s="33">
        <f>$G$9*$G$10/100</f>
        <v>191523.36898638826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8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2" t="s">
        <v>105</v>
      </c>
      <c r="C8" s="73"/>
      <c r="D8" s="73"/>
      <c r="E8" s="73"/>
      <c r="F8" s="73"/>
      <c r="G8" s="73"/>
      <c r="H8" s="74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9043034.6916074939</v>
      </c>
      <c r="H9" s="10" t="s">
        <v>4</v>
      </c>
      <c r="I9" s="1"/>
    </row>
    <row r="10" spans="1:9" x14ac:dyDescent="0.25">
      <c r="A10" s="1"/>
      <c r="B10" s="76" t="s">
        <v>26</v>
      </c>
      <c r="C10" s="77"/>
      <c r="D10" s="77"/>
      <c r="E10" s="77"/>
      <c r="F10" s="78"/>
      <c r="G10" s="42">
        <f>2</f>
        <v>2</v>
      </c>
      <c r="H10" s="10" t="s">
        <v>72</v>
      </c>
      <c r="I10" s="1"/>
    </row>
    <row r="11" spans="1:9" x14ac:dyDescent="0.25">
      <c r="A11" s="1"/>
      <c r="B11" s="83" t="s">
        <v>73</v>
      </c>
      <c r="C11" s="84"/>
      <c r="D11" s="84"/>
      <c r="E11" s="84"/>
      <c r="F11" s="85"/>
      <c r="G11" s="32">
        <f>$G$9*$G$10/100</f>
        <v>180860.69383214987</v>
      </c>
      <c r="H11" s="16" t="s">
        <v>4</v>
      </c>
      <c r="I11" s="1"/>
    </row>
    <row r="12" spans="1:9" x14ac:dyDescent="0.25">
      <c r="A12" s="1"/>
      <c r="B12" s="76" t="s">
        <v>100</v>
      </c>
      <c r="C12" s="77"/>
      <c r="D12" s="77"/>
      <c r="E12" s="77"/>
      <c r="F12" s="78"/>
      <c r="G12" s="20">
        <f>'Fane 3. Grundlag'!G10</f>
        <v>5834961.0346827572</v>
      </c>
      <c r="H12" s="10" t="s">
        <v>4</v>
      </c>
      <c r="I12" s="1"/>
    </row>
    <row r="13" spans="1:9" x14ac:dyDescent="0.25">
      <c r="A13" s="1"/>
      <c r="B13" s="76" t="s">
        <v>26</v>
      </c>
      <c r="C13" s="77"/>
      <c r="D13" s="77"/>
      <c r="E13" s="77"/>
      <c r="F13" s="78"/>
      <c r="G13" s="43">
        <f>0.91</f>
        <v>0.91</v>
      </c>
      <c r="H13" s="10" t="s">
        <v>72</v>
      </c>
      <c r="I13" s="1"/>
    </row>
    <row r="14" spans="1:9" x14ac:dyDescent="0.25">
      <c r="A14" s="1"/>
      <c r="B14" s="83" t="s">
        <v>74</v>
      </c>
      <c r="C14" s="84"/>
      <c r="D14" s="84"/>
      <c r="E14" s="84"/>
      <c r="F14" s="85"/>
      <c r="G14" s="32">
        <f>$G$12*$G$13/100</f>
        <v>53098.145415613093</v>
      </c>
      <c r="H14" s="16" t="s">
        <v>4</v>
      </c>
      <c r="I14" s="1"/>
    </row>
    <row r="15" spans="1:9" x14ac:dyDescent="0.25">
      <c r="A15" s="1"/>
      <c r="B15" s="72" t="s">
        <v>104</v>
      </c>
      <c r="C15" s="73"/>
      <c r="D15" s="73"/>
      <c r="E15" s="73"/>
      <c r="F15" s="74"/>
      <c r="G15" s="33">
        <f>G11+G14</f>
        <v>233958.83924776298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4" max="4" width="15.140625" customWidth="1"/>
    <col min="6" max="6" width="12.5703125" customWidth="1"/>
    <col min="7" max="7" width="9.42578125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106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2" t="s">
        <v>107</v>
      </c>
      <c r="C8" s="73"/>
      <c r="D8" s="73"/>
      <c r="E8" s="73"/>
      <c r="F8" s="73"/>
      <c r="G8" s="73"/>
      <c r="H8" s="74"/>
      <c r="I8" s="1"/>
    </row>
    <row r="9" spans="1:9" x14ac:dyDescent="0.25">
      <c r="A9" s="1"/>
      <c r="B9" s="76" t="s">
        <v>76</v>
      </c>
      <c r="C9" s="77"/>
      <c r="D9" s="77"/>
      <c r="E9" s="77"/>
      <c r="F9" s="78"/>
      <c r="G9" s="37">
        <v>-11314293</v>
      </c>
      <c r="H9" s="10" t="s">
        <v>4</v>
      </c>
      <c r="I9" s="1"/>
    </row>
    <row r="10" spans="1:9" x14ac:dyDescent="0.25">
      <c r="A10" s="1"/>
      <c r="B10" s="76" t="s">
        <v>77</v>
      </c>
      <c r="C10" s="77"/>
      <c r="D10" s="77"/>
      <c r="E10" s="77"/>
      <c r="F10" s="78"/>
      <c r="G10" s="37">
        <v>-6567300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-4746993</v>
      </c>
      <c r="H11" s="23" t="s">
        <v>4</v>
      </c>
      <c r="I11" s="1"/>
    </row>
    <row r="12" spans="1:9" x14ac:dyDescent="0.25">
      <c r="A12" s="1"/>
      <c r="B12" s="76" t="s">
        <v>78</v>
      </c>
      <c r="C12" s="77"/>
      <c r="D12" s="77"/>
      <c r="E12" s="77"/>
      <c r="F12" s="78"/>
      <c r="G12" s="37">
        <v>4</v>
      </c>
      <c r="H12" s="10" t="s">
        <v>4</v>
      </c>
      <c r="I12" s="1"/>
    </row>
    <row r="13" spans="1:9" x14ac:dyDescent="0.25">
      <c r="A13" s="1"/>
      <c r="B13" s="72" t="s">
        <v>75</v>
      </c>
      <c r="C13" s="73"/>
      <c r="D13" s="73"/>
      <c r="E13" s="73"/>
      <c r="F13" s="74"/>
      <c r="G13" s="33">
        <f>G11/G12</f>
        <v>-1186748.25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9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5" t="s">
        <v>30</v>
      </c>
      <c r="C3" s="75"/>
      <c r="D3" s="75"/>
      <c r="E3" s="75"/>
      <c r="F3" s="75"/>
      <c r="G3" s="75"/>
      <c r="H3" s="1"/>
    </row>
    <row r="4" spans="1:8" ht="15" customHeight="1" x14ac:dyDescent="0.25">
      <c r="A4" s="1"/>
      <c r="B4" s="75"/>
      <c r="C4" s="75"/>
      <c r="D4" s="75"/>
      <c r="E4" s="75"/>
      <c r="F4" s="75"/>
      <c r="G4" s="75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2" t="s">
        <v>5</v>
      </c>
      <c r="C8" s="73"/>
      <c r="D8" s="73"/>
      <c r="E8" s="73"/>
      <c r="F8" s="73"/>
      <c r="G8" s="74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5</v>
      </c>
      <c r="E10" s="37">
        <v>354477</v>
      </c>
      <c r="F10" s="20">
        <f>E10/D10</f>
        <v>70895.399999999994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10</v>
      </c>
      <c r="E11" s="37">
        <v>24597</v>
      </c>
      <c r="F11" s="20">
        <f t="shared" ref="F11:F16" si="0">E11/D11</f>
        <v>2459.6999999999998</v>
      </c>
      <c r="G11" s="10" t="s">
        <v>4</v>
      </c>
      <c r="H11" s="1"/>
    </row>
    <row r="12" spans="1:8" x14ac:dyDescent="0.25">
      <c r="A12" s="1"/>
      <c r="B12" s="41" t="s">
        <v>115</v>
      </c>
      <c r="C12" s="39">
        <v>2015</v>
      </c>
      <c r="D12" s="39">
        <v>75</v>
      </c>
      <c r="E12" s="37">
        <v>211807</v>
      </c>
      <c r="F12" s="20">
        <f t="shared" si="0"/>
        <v>2824.0933333333332</v>
      </c>
      <c r="G12" s="10" t="s">
        <v>4</v>
      </c>
      <c r="H12" s="1"/>
    </row>
    <row r="13" spans="1:8" x14ac:dyDescent="0.25">
      <c r="A13" s="1"/>
      <c r="B13" s="41" t="s">
        <v>116</v>
      </c>
      <c r="C13" s="39">
        <v>2015</v>
      </c>
      <c r="D13" s="39">
        <v>75</v>
      </c>
      <c r="E13" s="37">
        <v>12560</v>
      </c>
      <c r="F13" s="20">
        <f t="shared" si="0"/>
        <v>167.46666666666667</v>
      </c>
      <c r="G13" s="10" t="s">
        <v>4</v>
      </c>
      <c r="H13" s="1"/>
    </row>
    <row r="14" spans="1:8" x14ac:dyDescent="0.25">
      <c r="A14" s="1"/>
      <c r="B14" s="41" t="s">
        <v>117</v>
      </c>
      <c r="C14" s="39">
        <v>2015</v>
      </c>
      <c r="D14" s="39">
        <v>75</v>
      </c>
      <c r="E14" s="37">
        <v>1276495</v>
      </c>
      <c r="F14" s="20">
        <f t="shared" si="0"/>
        <v>17019.933333333334</v>
      </c>
      <c r="G14" s="10" t="s">
        <v>4</v>
      </c>
      <c r="H14" s="1"/>
    </row>
    <row r="15" spans="1:8" x14ac:dyDescent="0.25">
      <c r="A15" s="1"/>
      <c r="B15" s="41" t="s">
        <v>118</v>
      </c>
      <c r="C15" s="39">
        <v>2015</v>
      </c>
      <c r="D15" s="39">
        <v>75</v>
      </c>
      <c r="E15" s="37">
        <v>3067025</v>
      </c>
      <c r="F15" s="20">
        <f>E15/D15</f>
        <v>40893.666666666664</v>
      </c>
      <c r="G15" s="10" t="s">
        <v>4</v>
      </c>
      <c r="H15" s="1"/>
    </row>
    <row r="16" spans="1:8" x14ac:dyDescent="0.25">
      <c r="A16" s="1"/>
      <c r="B16" s="41" t="s">
        <v>119</v>
      </c>
      <c r="C16" s="39">
        <v>2015</v>
      </c>
      <c r="D16" s="39">
        <v>25</v>
      </c>
      <c r="E16" s="37">
        <v>275740</v>
      </c>
      <c r="F16" s="20">
        <f t="shared" si="0"/>
        <v>11029.6</v>
      </c>
      <c r="G16" s="10" t="s">
        <v>4</v>
      </c>
      <c r="H16" s="1"/>
    </row>
    <row r="17" spans="1:8" x14ac:dyDescent="0.25">
      <c r="A17" s="1"/>
      <c r="B17" s="72" t="s">
        <v>120</v>
      </c>
      <c r="C17" s="73"/>
      <c r="D17" s="73"/>
      <c r="E17" s="74"/>
      <c r="F17" s="33">
        <f>SUM(F10:F16)</f>
        <v>145289.85999999999</v>
      </c>
      <c r="G17" s="18" t="s">
        <v>4</v>
      </c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</sheetData>
  <sheetProtection password="C6BD" sheet="1" objects="1" scenarios="1"/>
  <mergeCells count="4">
    <mergeCell ref="B17:E1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8" t="s">
        <v>7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5" t="s">
        <v>92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76" t="s">
        <v>80</v>
      </c>
      <c r="C9" s="77"/>
      <c r="D9" s="77"/>
      <c r="E9" s="77"/>
      <c r="F9" s="78"/>
      <c r="G9" s="37">
        <v>10613968</v>
      </c>
      <c r="H9" s="10" t="s">
        <v>4</v>
      </c>
      <c r="I9" s="1"/>
    </row>
    <row r="10" spans="1:9" x14ac:dyDescent="0.25">
      <c r="A10" s="1"/>
      <c r="B10" s="76" t="s">
        <v>81</v>
      </c>
      <c r="C10" s="77"/>
      <c r="D10" s="77"/>
      <c r="E10" s="77"/>
      <c r="F10" s="78"/>
      <c r="G10" s="37">
        <v>10492000</v>
      </c>
      <c r="H10" s="10" t="s">
        <v>4</v>
      </c>
      <c r="I10" s="1"/>
    </row>
    <row r="11" spans="1:9" x14ac:dyDescent="0.25">
      <c r="A11" s="1"/>
      <c r="B11" s="72" t="s">
        <v>82</v>
      </c>
      <c r="C11" s="73"/>
      <c r="D11" s="73"/>
      <c r="E11" s="73"/>
      <c r="F11" s="74"/>
      <c r="G11" s="33">
        <f>G9-G10</f>
        <v>121968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5" t="s">
        <v>83</v>
      </c>
      <c r="C14" s="96"/>
      <c r="D14" s="96"/>
      <c r="E14" s="96"/>
      <c r="F14" s="96"/>
      <c r="G14" s="96"/>
      <c r="H14" s="97"/>
      <c r="I14" s="1"/>
    </row>
    <row r="15" spans="1:9" x14ac:dyDescent="0.25">
      <c r="A15" s="1"/>
      <c r="B15" s="76" t="s">
        <v>84</v>
      </c>
      <c r="C15" s="77"/>
      <c r="D15" s="77"/>
      <c r="E15" s="77"/>
      <c r="F15" s="78"/>
      <c r="G15" s="37">
        <v>247336</v>
      </c>
      <c r="H15" s="10" t="s">
        <v>4</v>
      </c>
      <c r="I15" s="1"/>
    </row>
    <row r="16" spans="1:9" x14ac:dyDescent="0.25">
      <c r="A16" s="1"/>
      <c r="B16" s="76" t="s">
        <v>85</v>
      </c>
      <c r="C16" s="77"/>
      <c r="D16" s="77"/>
      <c r="E16" s="77"/>
      <c r="F16" s="78"/>
      <c r="G16" s="37">
        <v>26000</v>
      </c>
      <c r="H16" s="10" t="s">
        <v>4</v>
      </c>
      <c r="I16" s="1"/>
    </row>
    <row r="17" spans="1:9" x14ac:dyDescent="0.25">
      <c r="A17" s="1"/>
      <c r="B17" s="72" t="s">
        <v>86</v>
      </c>
      <c r="C17" s="73"/>
      <c r="D17" s="73"/>
      <c r="E17" s="73"/>
      <c r="F17" s="74"/>
      <c r="G17" s="33">
        <f>G15-G16</f>
        <v>221336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5" t="s">
        <v>93</v>
      </c>
      <c r="C20" s="96"/>
      <c r="D20" s="96"/>
      <c r="E20" s="96"/>
      <c r="F20" s="96"/>
      <c r="G20" s="96"/>
      <c r="H20" s="97"/>
      <c r="I20" s="1"/>
    </row>
    <row r="21" spans="1:9" x14ac:dyDescent="0.25">
      <c r="A21" s="1"/>
      <c r="B21" s="76" t="s">
        <v>94</v>
      </c>
      <c r="C21" s="77"/>
      <c r="D21" s="77"/>
      <c r="E21" s="77"/>
      <c r="F21" s="78"/>
      <c r="G21" s="37">
        <v>14318</v>
      </c>
      <c r="H21" s="10" t="s">
        <v>4</v>
      </c>
      <c r="I21" s="1"/>
    </row>
    <row r="22" spans="1:9" x14ac:dyDescent="0.25">
      <c r="A22" s="1"/>
      <c r="B22" s="76" t="s">
        <v>96</v>
      </c>
      <c r="C22" s="77"/>
      <c r="D22" s="77"/>
      <c r="E22" s="77"/>
      <c r="F22" s="78"/>
      <c r="G22" s="37">
        <v>6500</v>
      </c>
      <c r="H22" s="10" t="s">
        <v>4</v>
      </c>
      <c r="I22" s="1"/>
    </row>
    <row r="23" spans="1:9" x14ac:dyDescent="0.25">
      <c r="A23" s="1"/>
      <c r="B23" s="72" t="s">
        <v>95</v>
      </c>
      <c r="C23" s="73"/>
      <c r="D23" s="73"/>
      <c r="E23" s="73"/>
      <c r="F23" s="74"/>
      <c r="G23" s="33">
        <f>G21-G22</f>
        <v>7818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5" t="s">
        <v>87</v>
      </c>
      <c r="C26" s="96"/>
      <c r="D26" s="96"/>
      <c r="E26" s="96"/>
      <c r="F26" s="96"/>
      <c r="G26" s="96"/>
      <c r="H26" s="97"/>
      <c r="I26" s="1"/>
    </row>
    <row r="27" spans="1:9" x14ac:dyDescent="0.25">
      <c r="A27" s="1"/>
      <c r="B27" s="76" t="s">
        <v>88</v>
      </c>
      <c r="C27" s="77"/>
      <c r="D27" s="77"/>
      <c r="E27" s="77"/>
      <c r="F27" s="78"/>
      <c r="G27" s="37">
        <v>144600</v>
      </c>
      <c r="H27" s="10" t="s">
        <v>4</v>
      </c>
      <c r="I27" s="1"/>
    </row>
    <row r="28" spans="1:9" x14ac:dyDescent="0.25">
      <c r="A28" s="1"/>
      <c r="B28" s="76" t="s">
        <v>89</v>
      </c>
      <c r="C28" s="77"/>
      <c r="D28" s="77"/>
      <c r="E28" s="77"/>
      <c r="F28" s="78"/>
      <c r="G28" s="37">
        <v>96750</v>
      </c>
      <c r="H28" s="10" t="s">
        <v>4</v>
      </c>
      <c r="I28" s="1"/>
    </row>
    <row r="29" spans="1:9" x14ac:dyDescent="0.25">
      <c r="A29" s="1"/>
      <c r="B29" s="76" t="s">
        <v>90</v>
      </c>
      <c r="C29" s="77"/>
      <c r="D29" s="77"/>
      <c r="E29" s="77"/>
      <c r="F29" s="78"/>
      <c r="G29" s="20">
        <f>'Fane 7. Gen. inv. i 2015'!F17</f>
        <v>145289.85999999999</v>
      </c>
      <c r="H29" s="10" t="s">
        <v>4</v>
      </c>
      <c r="I29" s="1"/>
    </row>
    <row r="30" spans="1:9" x14ac:dyDescent="0.25">
      <c r="A30" s="1"/>
      <c r="B30" s="72" t="s">
        <v>87</v>
      </c>
      <c r="C30" s="73"/>
      <c r="D30" s="73"/>
      <c r="E30" s="73"/>
      <c r="F30" s="74"/>
      <c r="G30" s="33">
        <f>G29-G27+G29-G28</f>
        <v>49229.719999999972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Magnus Bloch Thomsen (KFST)</cp:lastModifiedBy>
  <cp:lastPrinted>2016-06-14T12:57:30Z</cp:lastPrinted>
  <dcterms:created xsi:type="dcterms:W3CDTF">2016-06-02T08:51:18Z</dcterms:created>
  <dcterms:modified xsi:type="dcterms:W3CDTF">2016-12-13T16:02:36Z</dcterms:modified>
</cp:coreProperties>
</file>