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H2" i="15" l="1"/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F3" i="16" s="1"/>
  <c r="E4" i="16"/>
  <c r="G3" i="16" s="1"/>
  <c r="G3" i="24"/>
  <c r="K3" i="24" s="1"/>
  <c r="H3" i="24"/>
  <c r="I3" i="24"/>
  <c r="F3" i="24"/>
  <c r="B11" i="12"/>
  <c r="B12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E6" i="16"/>
  <c r="J3" i="24"/>
  <c r="M3" i="24" s="1"/>
  <c r="D5" i="16"/>
  <c r="D6" i="16"/>
  <c r="B9" i="12" l="1"/>
  <c r="B10" i="12" s="1"/>
  <c r="H3" i="17"/>
  <c r="B4" i="12" s="1"/>
  <c r="I2" i="15"/>
  <c r="K2" i="15" l="1"/>
  <c r="B2" i="12" s="1"/>
  <c r="H3" i="16"/>
  <c r="B3" i="12" s="1"/>
  <c r="B5" i="12" l="1"/>
  <c r="B14" i="12" s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<sst xmlns="http://schemas.openxmlformats.org/spreadsheetml/2006/main" count="112" uniqueCount="75">
  <si>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</si>
  <si>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</si>
  <si>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</si>
  <si>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</si>
  <si>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</si>
  <si>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</si>
  <si>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</si>
  <si>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</si>
  <si>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</si>
  <si>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</si>
  <si>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</si>
  <si>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</si>
  <si>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</si>
  <si>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</si>
  <si>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</si>
  <si>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</si>
  <si>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</si>
  <si>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</si>
  <si>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</si>
  <si>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</si>
  <si>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</si>
  <si>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</si>
  <si>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</si>
  <si>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Erstatning til grundejere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</si>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</sst>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4156237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38332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39088</v>
      </c>
      <c r="C4" t="s">
        <v>11</v>
      </c>
    </row>
    <row r="5" spans="1:3" s="26" customFormat="1" x14ac:dyDescent="0.25">
      <c r="A5" s="3" t="s">
        <v>12</v>
      </c>
      <c r="B5" s="47">
        <f>SUM(B2:B4)</f>
        <v>4233657</v>
      </c>
      <c r="C5" s="61" t="s">
        <v>11</v>
      </c>
    </row>
    <row r="6" spans="1:3" x14ac:dyDescent="0.25">
      <c r="A6" s="46" t="s">
        <v>0</v>
      </c>
      <c r="B6" s="38">
        <f>Investeringer!E3</f>
        <v>5574055.9825609513</v>
      </c>
      <c r="C6" s="23" t="s">
        <v>11</v>
      </c>
    </row>
    <row r="7" spans="1:3" x14ac:dyDescent="0.25">
      <c r="A7" s="4" t="s">
        <v>1</v>
      </c>
      <c r="B7" s="35">
        <f>Investeringer!F3</f>
        <v>1179653</v>
      </c>
      <c r="C7" t="s">
        <v>11</v>
      </c>
    </row>
    <row r="8" spans="1:3" x14ac:dyDescent="0.25">
      <c r="A8" s="4" t="s">
        <v>2</v>
      </c>
      <c r="B8" s="35">
        <f>Investeringer!G3</f>
        <v>132000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979</v>
      </c>
      <c r="C9" t="s">
        <v>11</v>
      </c>
    </row>
    <row r="10" spans="1:3" s="22" customFormat="1" x14ac:dyDescent="0.25">
      <c r="A10" s="3" t="s">
        <v>48</v>
      </c>
      <c r="B10" s="47">
        <f>SUM(B6:B9)</f>
        <v>6886687.9825609513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2972179</v>
      </c>
      <c r="C11" t="s">
        <v>11</v>
      </c>
    </row>
    <row r="12" spans="1:3" s="22" customFormat="1" x14ac:dyDescent="0.25">
      <c r="A12" s="3" t="s">
        <v>69</v>
      </c>
      <c r="B12" s="47">
        <f>SUM(B11:B11)</f>
        <v>2972179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14092523.982560951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14217267.340798344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F3" sqref="F3"/>
    </sheetView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53</v>
      </c>
      <c r="F1" s="51" t="s">
        <v>61</v>
      </c>
      <c r="G1" s="51" t="s">
        <v>70</v>
      </c>
      <c r="H1" s="51" t="s">
        <v>62</v>
      </c>
      <c r="I1" s="51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8">
        <v>4153716</v>
      </c>
      <c r="C2" s="48">
        <v>2521</v>
      </c>
      <c r="D2" s="48">
        <f>B2+C2</f>
        <v>4156237</v>
      </c>
      <c r="E2" s="49">
        <f>D2</f>
        <v>4156237</v>
      </c>
      <c r="F2" s="48">
        <v>4156237</v>
      </c>
      <c r="G2" s="48">
        <v>0</v>
      </c>
      <c r="H2" s="48">
        <f>IF(ISNUMBER(F2),F2-G2,"")</f>
        <v>4156237</v>
      </c>
      <c r="I2" s="48">
        <f>AVERAGEIF(E2:E4,"&lt;&gt;0")</f>
        <v>4156237</v>
      </c>
      <c r="J2" s="48">
        <v>1939521.7595024745</v>
      </c>
      <c r="K2" s="72">
        <f t="shared" ref="K2" si="0">IF(OR(H2&gt;I2,H2=""),IF(OR(I2&gt;J2,J2=""),I2,J2),H2)</f>
        <v>4156237</v>
      </c>
    </row>
    <row r="3" spans="1:11" s="23" customFormat="1" x14ac:dyDescent="0.25">
      <c r="A3" s="28">
        <v>2014</v>
      </c>
      <c r="B3" s="48"/>
      <c r="C3" s="48"/>
      <c r="D3" s="48">
        <f t="shared" ref="D3:D4" si="1">B3+C3</f>
        <v>0</v>
      </c>
      <c r="E3" s="49">
        <f>D3*Pristalsregulering!C7</f>
        <v>0</v>
      </c>
      <c r="F3" s="48"/>
      <c r="G3" s="48"/>
      <c r="H3" s="48"/>
      <c r="I3" s="48"/>
      <c r="J3" s="48"/>
      <c r="K3" s="35"/>
    </row>
    <row r="4" spans="1:11" x14ac:dyDescent="0.25">
      <c r="A4" s="28">
        <v>2013</v>
      </c>
      <c r="B4" s="48"/>
      <c r="C4" s="48"/>
      <c r="D4" s="48">
        <f t="shared" si="1"/>
        <v>0</v>
      </c>
      <c r="E4" s="49">
        <f>D4*Pristalsregulering!$C$6*Pristalsregulering!$C$7</f>
        <v>0</v>
      </c>
      <c r="F4" s="48"/>
      <c r="G4" s="48"/>
      <c r="H4" s="48"/>
      <c r="I4" s="48"/>
      <c r="J4" s="48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4" customWidth="1"/>
    <col min="5" max="5" width="30.7109375" customWidth="1"/>
    <col min="6" max="6" width="30.7109375" style="54" customWidth="1"/>
    <col min="7" max="7" width="30.7109375" customWidth="1"/>
    <col min="8" max="8" width="30.7109375" style="54" customWidth="1"/>
    <col min="9" max="9" width="9.140625" hidden="1" customWidth="1"/>
    <col min="10" max="94" width="0" hidden="1" customWidth="1"/>
    <col min="95" max="95" width="9.140625" hidden="1" customWidth="1"/>
    <col min="96" max="111" width="0" hidden="1" customWidth="1"/>
    <col min="112" max="112" width="9.140625" hidden="1" customWidth="1"/>
    <col min="113" max="188" width="0" hidden="1" customWidth="1"/>
    <col min="189" max="189" width="9.140625" hidden="1" customWidth="1"/>
    <col min="190" max="205" width="0" hidden="1" customWidth="1"/>
    <col min="206" max="206" width="9.140625" hidden="1" customWidth="1"/>
    <col min="207" max="222" width="0" hidden="1" customWidth="1"/>
    <col min="223" max="223" width="9.140625" hidden="1" customWidth="1"/>
    <col min="224" max="282" width="0" hidden="1" customWidth="1"/>
    <col min="283" max="283" width="9.140625" hidden="1" customWidth="1"/>
    <col min="284" max="299" width="0" hidden="1" customWidth="1"/>
    <col min="300" max="300" width="9.140625" hidden="1" customWidth="1"/>
    <col min="301" max="316" width="0" hidden="1" customWidth="1"/>
    <col min="317" max="317" width="9.140625" hidden="1" customWidth="1"/>
    <col min="318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2" t="s">
        <v>73</v>
      </c>
      <c r="E1" s="10"/>
      <c r="F1" s="62" t="s">
        <v>74</v>
      </c>
      <c r="G1" s="10"/>
      <c r="H1" s="62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5" t="s">
        <v>22</v>
      </c>
      <c r="E2" s="34" t="s">
        <v>23</v>
      </c>
      <c r="F2" s="55" t="s">
        <v>22</v>
      </c>
      <c r="G2" s="34" t="s">
        <v>23</v>
      </c>
      <c r="H2" s="52" t="s">
        <v>24</v>
      </c>
    </row>
    <row r="3" spans="1:8" s="22" customFormat="1" x14ac:dyDescent="0.25">
      <c r="A3" s="28">
        <v>2016</v>
      </c>
      <c r="B3" s="71">
        <v>37000</v>
      </c>
      <c r="C3" s="71">
        <v>1332</v>
      </c>
      <c r="D3" s="44">
        <f>B3</f>
        <v>37000</v>
      </c>
      <c r="E3" s="35">
        <f>C3</f>
        <v>1332</v>
      </c>
      <c r="F3" s="44">
        <f>IF(D4=0,0,AVERAGEIF(D4:D6,"&lt;&gt;0"))+D3</f>
        <v>37000</v>
      </c>
      <c r="G3" s="38">
        <f>IF(E4=0,0,AVERAGEIF(E4:E6,"&lt;&gt;0"))+E3</f>
        <v>1332</v>
      </c>
      <c r="H3" s="56">
        <f>SUM(F3:G3)</f>
        <v>38332</v>
      </c>
    </row>
    <row r="4" spans="1:8" x14ac:dyDescent="0.25">
      <c r="A4" s="28">
        <v>2015</v>
      </c>
      <c r="B4" s="35"/>
      <c r="C4" s="35"/>
      <c r="D4" s="44">
        <f>B4</f>
        <v>0</v>
      </c>
      <c r="E4" s="35">
        <f>C4</f>
        <v>0</v>
      </c>
      <c r="F4" s="44"/>
      <c r="G4" s="38"/>
      <c r="H4" s="53"/>
    </row>
    <row r="5" spans="1:8" x14ac:dyDescent="0.25">
      <c r="A5" s="28">
        <v>2014</v>
      </c>
      <c r="B5" s="35"/>
      <c r="C5" s="35"/>
      <c r="D5" s="44">
        <f>B5*Pristalsregulering!$C$7</f>
        <v>0</v>
      </c>
      <c r="E5" s="35">
        <f>C5*Pristalsregulering!$C$7</f>
        <v>0</v>
      </c>
      <c r="F5" s="44"/>
      <c r="G5" s="35"/>
      <c r="H5" s="44"/>
    </row>
    <row r="6" spans="1:8" x14ac:dyDescent="0.25">
      <c r="A6" s="28">
        <v>2013</v>
      </c>
      <c r="B6" s="35"/>
      <c r="C6" s="35"/>
      <c r="D6" s="44">
        <f>B6*Pristalsregulering!$C$7*Pristalsregulering!$C$6</f>
        <v>0</v>
      </c>
      <c r="E6" s="35">
        <f>C6*Pristalsregulering!$C$7*Pristalsregulering!$C$6</f>
        <v>0</v>
      </c>
      <c r="F6" s="44"/>
      <c r="G6" s="35"/>
      <c r="H6" s="44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5" t="s">
        <v>28</v>
      </c>
      <c r="H2" s="6" t="s">
        <v>30</v>
      </c>
    </row>
    <row r="3" spans="1:8" x14ac:dyDescent="0.25">
      <c r="A3" s="31">
        <v>2015</v>
      </c>
      <c r="B3" s="40">
        <v>18000</v>
      </c>
      <c r="C3" s="41">
        <v>21088</v>
      </c>
      <c r="D3" s="41">
        <v>0</v>
      </c>
      <c r="E3" s="40">
        <f>B3</f>
        <v>18000</v>
      </c>
      <c r="F3" s="41">
        <f t="shared" ref="F3:G3" si="0">C3</f>
        <v>21088</v>
      </c>
      <c r="G3" s="42">
        <f t="shared" si="0"/>
        <v>0</v>
      </c>
      <c r="H3" s="43">
        <f>IF(E3=0,0,AVERAGEIF(E3:E5,"&lt;&gt;0"))+IF(F3=0,0,AVERAGEIF(F3:F5,"&lt;&gt;0"))+IF(G3=0,0,AVERAGEIF(G3:G5,"&lt;&gt;0"))</f>
        <v>39088</v>
      </c>
    </row>
    <row r="4" spans="1:8" x14ac:dyDescent="0.25">
      <c r="A4" s="31">
        <v>2014</v>
      </c>
      <c r="B4" s="40"/>
      <c r="C4" s="41"/>
      <c r="D4" s="41">
        <v>0</v>
      </c>
      <c r="E4" s="40">
        <f>B4*Pristalsregulering!$C$7</f>
        <v>0</v>
      </c>
      <c r="F4" s="41">
        <f>C4*Pristalsregulering!$C$7</f>
        <v>0</v>
      </c>
      <c r="G4" s="42">
        <f>D4*Pristalsregulering!$C$7</f>
        <v>0</v>
      </c>
      <c r="H4" s="41"/>
    </row>
    <row r="5" spans="1:8" x14ac:dyDescent="0.25">
      <c r="A5" s="31">
        <v>2013</v>
      </c>
      <c r="B5" s="40"/>
      <c r="C5" s="41"/>
      <c r="D5" s="41">
        <v>0</v>
      </c>
      <c r="E5" s="40">
        <f>B5*Pristalsregulering!$C$7*Pristalsregulering!$C$6</f>
        <v>0</v>
      </c>
      <c r="F5" s="41">
        <f>C5*Pristalsregulering!$C$7*Pristalsregulering!$C$6</f>
        <v>0</v>
      </c>
      <c r="G5" s="42">
        <f>D5*Pristalsregulering!$C$7*Pristalsregulering!$C$6</f>
        <v>0</v>
      </c>
      <c r="H5" s="41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5119924.0206828956</v>
      </c>
      <c r="C3" s="38">
        <v>1147922</v>
      </c>
      <c r="D3" s="39">
        <v>132000</v>
      </c>
      <c r="E3" s="35">
        <f>B3*Pristalsregulering!C2*Pristalsregulering!C3*Pristalsregulering!C4*Pristalsregulering!C5*Pristalsregulering!C6*Pristalsregulering!C7</f>
        <v>5574055.9825609513</v>
      </c>
      <c r="F3" s="35">
        <v>1179653</v>
      </c>
      <c r="G3" s="35">
        <f>D3</f>
        <v>132000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1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0" t="s">
        <v>45</v>
      </c>
      <c r="F2" s="7" t="s">
        <v>42</v>
      </c>
      <c r="G2" s="7" t="s">
        <v>43</v>
      </c>
      <c r="H2" s="7" t="s">
        <v>44</v>
      </c>
      <c r="I2" s="50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4">
        <v>0</v>
      </c>
      <c r="C3" s="38">
        <v>979</v>
      </c>
      <c r="D3" s="38">
        <v>0</v>
      </c>
      <c r="E3" s="39">
        <v>0</v>
      </c>
      <c r="F3" s="38">
        <f>B3</f>
        <v>0</v>
      </c>
      <c r="G3" s="38">
        <f>C3</f>
        <v>979</v>
      </c>
      <c r="H3" s="38">
        <f>D3</f>
        <v>0</v>
      </c>
      <c r="I3" s="39">
        <f>E3</f>
        <v>0</v>
      </c>
      <c r="J3" s="41">
        <f>AVERAGE(F3:F5)</f>
        <v>0</v>
      </c>
      <c r="K3" s="41">
        <f>G3</f>
        <v>979</v>
      </c>
      <c r="L3" s="42">
        <f>AVERAGE(H3:H5)+AVERAGE(I3:I5)</f>
        <v>0</v>
      </c>
      <c r="M3" s="43">
        <f>SUM(J3:L3)</f>
        <v>979</v>
      </c>
      <c r="N3" s="23"/>
    </row>
    <row r="4" spans="1:14" x14ac:dyDescent="0.25">
      <c r="A4" s="28">
        <v>2014</v>
      </c>
      <c r="B4" s="44"/>
      <c r="C4" s="38"/>
      <c r="D4" s="38"/>
      <c r="E4" s="39">
        <v>0</v>
      </c>
      <c r="F4" s="38" t="str">
        <f>IF(B4="","",B4*Pristalsregulering!$C$7)</f>
        <v/>
      </c>
      <c r="G4" s="38" t="str">
        <f>IF(C4="","",C4*Pristalsregulering!$C$7)</f>
        <v/>
      </c>
      <c r="H4" s="38" t="str">
        <f>IF(D4="","",D4*Pristalsregulering!$C$7)</f>
        <v/>
      </c>
      <c r="I4" s="39">
        <f>IF(E4="","",E4*Pristalsregulering!$C$7)</f>
        <v>0</v>
      </c>
      <c r="J4" s="38"/>
      <c r="L4" s="39"/>
      <c r="M4" s="35"/>
    </row>
    <row r="5" spans="1:14" x14ac:dyDescent="0.25">
      <c r="A5" s="28">
        <v>2013</v>
      </c>
      <c r="B5" s="44"/>
      <c r="C5" s="38"/>
      <c r="D5" s="38"/>
      <c r="E5" s="39">
        <v>0</v>
      </c>
      <c r="F5" s="38" t="str">
        <f>IF(B5="","",B5*Pristalsregulering!$C$7*Pristalsregulering!$C$6)</f>
        <v/>
      </c>
      <c r="G5" s="38" t="str">
        <f>IF(C5="","",C5*Pristalsregulering!$C$7*Pristalsregulering!$C$6)</f>
        <v/>
      </c>
      <c r="H5" s="38" t="str">
        <f>IF(D5="","",D5*Pristalsregulering!$C$7*Pristalsregulering!$C$6)</f>
        <v/>
      </c>
      <c r="I5" s="39">
        <f>IF(E5="","",E5*Pristalsregulering!$C$7*Pristalsregulering!$C$6)</f>
        <v>0</v>
      </c>
      <c r="J5" s="35"/>
      <c r="L5" s="39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31</v>
      </c>
      <c r="C1" s="65" t="s">
        <v>32</v>
      </c>
      <c r="D1" s="65" t="s">
        <v>33</v>
      </c>
      <c r="E1" s="65" t="s">
        <v>34</v>
      </c>
      <c r="F1" s="65" t="s">
        <v>35</v>
      </c>
      <c r="G1" s="65" t="s">
        <v>36</v>
      </c>
      <c r="H1" s="65" t="s">
        <v>37</v>
      </c>
      <c r="I1" s="65" t="s">
        <v>38</v>
      </c>
      <c r="J1" s="65" t="s">
        <v>39</v>
      </c>
      <c r="K1" s="65" t="s">
        <v>56</v>
      </c>
      <c r="L1" s="66" t="s">
        <v>40</v>
      </c>
      <c r="M1" s="14" t="s">
        <v>29</v>
      </c>
    </row>
    <row r="2" spans="1:13" ht="15.75" thickTop="1" x14ac:dyDescent="0.25">
      <c r="A2" s="31">
        <v>2015</v>
      </c>
      <c r="B2" s="41">
        <v>32523</v>
      </c>
      <c r="C2" s="41">
        <v>0</v>
      </c>
      <c r="D2" s="41">
        <v>24558</v>
      </c>
      <c r="E2" s="41">
        <v>6193</v>
      </c>
      <c r="F2" s="41">
        <v>0</v>
      </c>
      <c r="G2" s="41">
        <v>2908905</v>
      </c>
      <c r="H2" s="41" t="s">
        <v>47</v>
      </c>
      <c r="I2" s="41">
        <v>0</v>
      </c>
      <c r="J2" s="41">
        <v>0</v>
      </c>
      <c r="K2" s="41"/>
      <c r="L2" s="42"/>
      <c r="M2" s="43">
        <f>SUM(B2:L2)</f>
        <v>2972179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2016-12-14T13:31:48Z</dcterms:modified>
</cp:coreProperties>
</file>