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5815" yWindow="105" windowWidth="20535" windowHeight="11310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E35" i="13" l="1"/>
  <c r="G35" i="13" s="1"/>
  <c r="E27" i="13"/>
  <c r="E19" i="13"/>
  <c r="E15" i="13"/>
  <c r="G11" i="12"/>
  <c r="E16" i="2" s="1"/>
  <c r="G23" i="12"/>
  <c r="E18" i="2" s="1"/>
  <c r="G17" i="12"/>
  <c r="E17" i="2" s="1"/>
  <c r="F11" i="11"/>
  <c r="F12" i="11"/>
  <c r="F10" i="11"/>
  <c r="F13" i="11" s="1"/>
  <c r="G29" i="12" s="1"/>
  <c r="G13" i="10"/>
  <c r="E14" i="2" s="1"/>
  <c r="G14" i="2" s="1"/>
  <c r="G12" i="7"/>
  <c r="G15" i="6"/>
  <c r="G15" i="5"/>
  <c r="G15" i="4"/>
  <c r="E22" i="2"/>
  <c r="G22" i="2" s="1"/>
  <c r="E10" i="2"/>
  <c r="E10" i="4" s="1"/>
  <c r="E10" i="5" s="1"/>
  <c r="E10" i="6" s="1"/>
  <c r="G30" i="12" l="1"/>
  <c r="E19" i="2" s="1"/>
  <c r="E20" i="2" s="1"/>
  <c r="G20" i="2" s="1"/>
  <c r="E28" i="13"/>
  <c r="G28" i="13" s="1"/>
  <c r="G9" i="9"/>
  <c r="E9" i="2"/>
  <c r="G11" i="9" l="1"/>
  <c r="E11" i="2" s="1"/>
  <c r="E9" i="4" l="1"/>
  <c r="E12" i="2"/>
  <c r="G12" i="2" s="1"/>
  <c r="G23" i="2" s="1"/>
  <c r="E11" i="4" l="1"/>
  <c r="E12" i="4"/>
  <c r="E9" i="5" s="1"/>
  <c r="E13" i="4" l="1"/>
  <c r="G13" i="4" s="1"/>
  <c r="G16" i="4" s="1"/>
  <c r="E12" i="5"/>
  <c r="E9" i="6" s="1"/>
  <c r="E11" i="5"/>
  <c r="E13" i="5" l="1"/>
  <c r="G13" i="5" s="1"/>
  <c r="G16" i="5" s="1"/>
  <c r="E12" i="6"/>
  <c r="E11" i="6"/>
  <c r="E13" i="6" l="1"/>
  <c r="G13" i="6" s="1"/>
  <c r="G16" i="6" s="1"/>
</calcChain>
</file>

<file path=xl/sharedStrings.xml><?xml version="1.0" encoding="utf-8"?>
<sst xmlns="http://schemas.openxmlformats.org/spreadsheetml/2006/main" count="248" uniqueCount="120">
  <si>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</si>
  <si>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</si>
  <si>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</si>
  <si>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</si>
  <si>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</si>
  <si>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</si>
  <si>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</si>
  <si>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</si>
  <si>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</si>
  <si>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</si>
  <si>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</si>
  <si>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</si>
  <si>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</si>
  <si>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</si>
  <si>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</si>
  <si>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</si>
  <si>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</si>
  <si>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</si>
  <si>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</si>
  <si>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</si>
  <si>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</si>
  <si>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</si>
  <si>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</si>
  <si>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</si>
  <si>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</si>
  <si>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</si>
  <si>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</si>
  <si>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</si>
  <si>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</si>
  <si>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</si>
  <si>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</si>
  <si>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</si>
  <si>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</si>
  <si>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</si>
  <si>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</si>
  <si>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</si>
  <si>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</si>
  <si>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</si>
  <si>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</si>
  <si>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</si>
  <si>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</si>
  <si>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</si>
  <si>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</si>
  <si>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</si>
  <si>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</si>
  <si>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</si>
  <si>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</si>
  <si>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</si>
  <si>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</si>
  <si>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</si>
  <si>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</si>
  <si>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</si>
  <si>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</si>
  <si>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</si>
  <si>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</si>
  <si>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</si>
  <si>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</si>
  <si>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</si>
  <si>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</si>
  <si>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</si>
  <si>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</si>
  <si>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</si>
  <si>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</si>
  <si>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</si>
  <si>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</si>
  <si>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</si>
  <si>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</si>
  <si>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</si>
  <si>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</si>
  <si>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</si>
  <si>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</si>
  <si>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</si>
  <si>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</si>
  <si>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</si>
  <si>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</si>
  <si>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</si>
  <si>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</si>
  <si>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</si>
  <si>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</si>
  <si>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</si>
  <si>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</si>
  <si>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</si>
  <si>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</si>
  <si>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</si>
  <si>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</si>
  <si>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</si>
  <si>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</si>
  <si>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</si>
  <si>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</si>
  <si>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</si>
  <si>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</si>
  <si>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</si>
  <si>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</si>
  <si>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</si>
  <si>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</si>
  <si>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</si>
  <si>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</si>
  <si>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</si>
  <si>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</si>
  <si>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</si>
  <si>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</si>
  <si>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</si>
  <si>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</si>
  <si>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</si>
  <si>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</si>
  <si>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</si>
  <si>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</si>
  <si>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</si>
  <si>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</si>
  <si>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</si>
  <si>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Hegn</t>
  </si>
  <si>
    <t>Ø 50mm &lt; Ledningsnet ≤ Ø110 mm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</si>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</sst>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117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7" t="s">
        <v>81</v>
      </c>
      <c r="C9" s="78"/>
      <c r="D9" s="78"/>
      <c r="E9" s="78"/>
      <c r="F9" s="79"/>
      <c r="G9" s="36">
        <v>1801432</v>
      </c>
      <c r="H9" s="10" t="s">
        <v>4</v>
      </c>
      <c r="I9" s="1"/>
    </row>
    <row r="10" spans="1:9" x14ac:dyDescent="0.25">
      <c r="A10" s="1"/>
      <c r="B10" s="77" t="s">
        <v>82</v>
      </c>
      <c r="C10" s="78"/>
      <c r="D10" s="78"/>
      <c r="E10" s="78"/>
      <c r="F10" s="79"/>
      <c r="G10" s="36">
        <v>1838000</v>
      </c>
      <c r="H10" s="10" t="s">
        <v>4</v>
      </c>
      <c r="I10" s="1"/>
    </row>
    <row r="11" spans="1:9" x14ac:dyDescent="0.25">
      <c r="A11" s="1"/>
      <c r="B11" s="67" t="s">
        <v>83</v>
      </c>
      <c r="C11" s="68"/>
      <c r="D11" s="68"/>
      <c r="E11" s="68"/>
      <c r="F11" s="69"/>
      <c r="G11" s="34">
        <f>G9-G10</f>
        <v>-36568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7" t="s">
        <v>85</v>
      </c>
      <c r="C15" s="78"/>
      <c r="D15" s="78"/>
      <c r="E15" s="78"/>
      <c r="F15" s="79"/>
      <c r="G15" s="36">
        <v>86421</v>
      </c>
      <c r="H15" s="10" t="s">
        <v>4</v>
      </c>
      <c r="I15" s="1"/>
    </row>
    <row r="16" spans="1:9" x14ac:dyDescent="0.25">
      <c r="A16" s="1"/>
      <c r="B16" s="77" t="s">
        <v>86</v>
      </c>
      <c r="C16" s="78"/>
      <c r="D16" s="78"/>
      <c r="E16" s="78"/>
      <c r="F16" s="79"/>
      <c r="G16" s="36">
        <v>93000</v>
      </c>
      <c r="H16" s="10" t="s">
        <v>4</v>
      </c>
      <c r="I16" s="1"/>
    </row>
    <row r="17" spans="1:9" x14ac:dyDescent="0.25">
      <c r="A17" s="1"/>
      <c r="B17" s="67" t="s">
        <v>87</v>
      </c>
      <c r="C17" s="68"/>
      <c r="D17" s="68"/>
      <c r="E17" s="68"/>
      <c r="F17" s="69"/>
      <c r="G17" s="34">
        <f>G15-G16</f>
        <v>-6579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7" t="s">
        <v>95</v>
      </c>
      <c r="C21" s="78"/>
      <c r="D21" s="78"/>
      <c r="E21" s="78"/>
      <c r="F21" s="79"/>
      <c r="G21" s="36">
        <v>44635</v>
      </c>
      <c r="H21" s="10" t="s">
        <v>4</v>
      </c>
      <c r="I21" s="1"/>
    </row>
    <row r="22" spans="1:9" x14ac:dyDescent="0.25">
      <c r="A22" s="1"/>
      <c r="B22" s="77" t="s">
        <v>97</v>
      </c>
      <c r="C22" s="78"/>
      <c r="D22" s="78"/>
      <c r="E22" s="78"/>
      <c r="F22" s="79"/>
      <c r="G22" s="36">
        <v>208000</v>
      </c>
      <c r="H22" s="10" t="s">
        <v>4</v>
      </c>
      <c r="I22" s="1"/>
    </row>
    <row r="23" spans="1:9" x14ac:dyDescent="0.25">
      <c r="A23" s="1"/>
      <c r="B23" s="67" t="s">
        <v>96</v>
      </c>
      <c r="C23" s="68"/>
      <c r="D23" s="68"/>
      <c r="E23" s="68"/>
      <c r="F23" s="69"/>
      <c r="G23" s="34">
        <f>G21-G22</f>
        <v>-163365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7" t="s">
        <v>89</v>
      </c>
      <c r="C27" s="78"/>
      <c r="D27" s="78"/>
      <c r="E27" s="78"/>
      <c r="F27" s="79"/>
      <c r="G27" s="36">
        <v>12200</v>
      </c>
      <c r="H27" s="10" t="s">
        <v>4</v>
      </c>
      <c r="I27" s="1"/>
    </row>
    <row r="28" spans="1:9" x14ac:dyDescent="0.25">
      <c r="A28" s="1"/>
      <c r="B28" s="77" t="s">
        <v>90</v>
      </c>
      <c r="C28" s="78"/>
      <c r="D28" s="78"/>
      <c r="E28" s="78"/>
      <c r="F28" s="79"/>
      <c r="G28" s="36">
        <v>22300</v>
      </c>
      <c r="H28" s="10" t="s">
        <v>4</v>
      </c>
      <c r="I28" s="1"/>
    </row>
    <row r="29" spans="1:9" x14ac:dyDescent="0.25">
      <c r="A29" s="1"/>
      <c r="B29" s="77" t="s">
        <v>91</v>
      </c>
      <c r="C29" s="78"/>
      <c r="D29" s="78"/>
      <c r="E29" s="78"/>
      <c r="F29" s="79"/>
      <c r="G29" s="20">
        <f>'Fane 6. Gen. inv. i 2015'!F13</f>
        <v>3869.6</v>
      </c>
      <c r="H29" s="10" t="s">
        <v>4</v>
      </c>
      <c r="I29" s="1"/>
    </row>
    <row r="30" spans="1:9" x14ac:dyDescent="0.25">
      <c r="A30" s="1"/>
      <c r="B30" s="67" t="s">
        <v>88</v>
      </c>
      <c r="C30" s="68"/>
      <c r="D30" s="68"/>
      <c r="E30" s="68"/>
      <c r="F30" s="69"/>
      <c r="G30" s="34">
        <f>G29-G27+G29-G28</f>
        <v>-26760.799999999999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118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49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81" t="s">
        <v>51</v>
      </c>
      <c r="C9" s="82"/>
      <c r="D9" s="82"/>
      <c r="E9" s="82"/>
      <c r="F9" s="83"/>
      <c r="G9" s="37">
        <v>4451465</v>
      </c>
      <c r="H9" s="16" t="s">
        <v>4</v>
      </c>
      <c r="I9" s="1"/>
    </row>
    <row r="10" spans="1:9" x14ac:dyDescent="0.25">
      <c r="A10" s="1"/>
      <c r="B10" s="67" t="s">
        <v>52</v>
      </c>
      <c r="C10" s="68"/>
      <c r="D10" s="68"/>
      <c r="E10" s="68"/>
      <c r="F10" s="68"/>
      <c r="G10" s="68"/>
      <c r="H10" s="69"/>
      <c r="I10" s="1"/>
    </row>
    <row r="11" spans="1:9" x14ac:dyDescent="0.25">
      <c r="A11" s="1"/>
      <c r="B11" s="77" t="s">
        <v>53</v>
      </c>
      <c r="C11" s="78"/>
      <c r="D11" s="79"/>
      <c r="E11" s="36">
        <v>696579</v>
      </c>
      <c r="F11" s="10" t="s">
        <v>4</v>
      </c>
      <c r="G11" s="19"/>
      <c r="H11" s="25"/>
      <c r="I11" s="1"/>
    </row>
    <row r="12" spans="1:9" x14ac:dyDescent="0.25">
      <c r="A12" s="1"/>
      <c r="B12" s="77" t="s">
        <v>54</v>
      </c>
      <c r="C12" s="78"/>
      <c r="D12" s="79"/>
      <c r="E12" s="36">
        <v>175023</v>
      </c>
      <c r="F12" s="10" t="s">
        <v>4</v>
      </c>
      <c r="G12" s="13"/>
      <c r="H12" s="26"/>
      <c r="I12" s="1"/>
    </row>
    <row r="13" spans="1:9" x14ac:dyDescent="0.25">
      <c r="A13" s="1"/>
      <c r="B13" s="77" t="s">
        <v>55</v>
      </c>
      <c r="C13" s="78"/>
      <c r="D13" s="79"/>
      <c r="E13" s="36">
        <v>207372</v>
      </c>
      <c r="F13" s="10" t="s">
        <v>4</v>
      </c>
      <c r="G13" s="13"/>
      <c r="H13" s="26"/>
      <c r="I13" s="1"/>
    </row>
    <row r="14" spans="1:9" x14ac:dyDescent="0.25">
      <c r="A14" s="1"/>
      <c r="B14" s="77" t="s">
        <v>56</v>
      </c>
      <c r="C14" s="78"/>
      <c r="D14" s="79"/>
      <c r="E14" s="36">
        <v>176400</v>
      </c>
      <c r="F14" s="10" t="s">
        <v>4</v>
      </c>
      <c r="G14" s="13"/>
      <c r="H14" s="26"/>
      <c r="I14" s="1"/>
    </row>
    <row r="15" spans="1:9" x14ac:dyDescent="0.25">
      <c r="A15" s="1"/>
      <c r="B15" s="81" t="s">
        <v>57</v>
      </c>
      <c r="C15" s="82"/>
      <c r="D15" s="83"/>
      <c r="E15" s="33">
        <f>SUM(E11:E14)</f>
        <v>1255374</v>
      </c>
      <c r="F15" s="16" t="s">
        <v>4</v>
      </c>
      <c r="G15" s="13"/>
      <c r="H15" s="26"/>
      <c r="I15" s="1"/>
    </row>
    <row r="16" spans="1:9" x14ac:dyDescent="0.25">
      <c r="A16" s="1"/>
      <c r="B16" s="77" t="s">
        <v>58</v>
      </c>
      <c r="C16" s="78"/>
      <c r="D16" s="79"/>
      <c r="E16" s="36">
        <v>264455</v>
      </c>
      <c r="F16" s="10" t="s">
        <v>4</v>
      </c>
      <c r="G16" s="13"/>
      <c r="H16" s="26"/>
      <c r="I16" s="1"/>
    </row>
    <row r="17" spans="1:9" x14ac:dyDescent="0.25">
      <c r="A17" s="1"/>
      <c r="B17" s="77" t="s">
        <v>59</v>
      </c>
      <c r="C17" s="78"/>
      <c r="D17" s="79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7" t="s">
        <v>60</v>
      </c>
      <c r="C18" s="78"/>
      <c r="D18" s="79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81" t="s">
        <v>61</v>
      </c>
      <c r="C19" s="82"/>
      <c r="D19" s="83"/>
      <c r="E19" s="33">
        <f>SUM(E16:E18)</f>
        <v>264455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70" t="s">
        <v>62</v>
      </c>
      <c r="C20" s="71"/>
      <c r="D20" s="72"/>
      <c r="E20" s="36">
        <v>-366623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70" t="s">
        <v>63</v>
      </c>
      <c r="C21" s="71"/>
      <c r="D21" s="72"/>
      <c r="E21" s="36">
        <v>-230999</v>
      </c>
      <c r="F21" s="10" t="s">
        <v>4</v>
      </c>
      <c r="G21" s="13"/>
      <c r="H21" s="26"/>
      <c r="I21" s="1"/>
    </row>
    <row r="22" spans="1:9" x14ac:dyDescent="0.25">
      <c r="A22" s="1"/>
      <c r="B22" s="77" t="s">
        <v>64</v>
      </c>
      <c r="C22" s="78"/>
      <c r="D22" s="79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7" t="s">
        <v>65</v>
      </c>
      <c r="C23" s="78"/>
      <c r="D23" s="79"/>
      <c r="E23" s="36">
        <v>-593600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70" t="s">
        <v>66</v>
      </c>
      <c r="C24" s="71"/>
      <c r="D24" s="72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70" t="s">
        <v>67</v>
      </c>
      <c r="C25" s="71"/>
      <c r="D25" s="72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70" t="s">
        <v>68</v>
      </c>
      <c r="C26" s="71"/>
      <c r="D26" s="72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81" t="s">
        <v>69</v>
      </c>
      <c r="C27" s="82"/>
      <c r="D27" s="83"/>
      <c r="E27" s="33">
        <f>SUM(E20:E26)</f>
        <v>-1191222</v>
      </c>
      <c r="F27" s="16" t="s">
        <v>4</v>
      </c>
      <c r="G27" s="14"/>
      <c r="H27" s="27"/>
      <c r="I27" s="1"/>
    </row>
    <row r="28" spans="1:9" x14ac:dyDescent="0.25">
      <c r="A28" s="1"/>
      <c r="B28" s="81" t="s">
        <v>70</v>
      </c>
      <c r="C28" s="82"/>
      <c r="D28" s="83"/>
      <c r="E28" s="33">
        <f>E15+E19+E27</f>
        <v>328607</v>
      </c>
      <c r="F28" s="16" t="s">
        <v>4</v>
      </c>
      <c r="G28" s="31">
        <f>IF(E28&lt;0,0,-E28)</f>
        <v>-328607</v>
      </c>
      <c r="H28" s="16" t="s">
        <v>4</v>
      </c>
      <c r="I28" s="1"/>
    </row>
    <row r="29" spans="1:9" x14ac:dyDescent="0.25">
      <c r="A29" s="1"/>
      <c r="B29" s="67" t="s">
        <v>71</v>
      </c>
      <c r="C29" s="68"/>
      <c r="D29" s="68"/>
      <c r="E29" s="68"/>
      <c r="F29" s="68"/>
      <c r="G29" s="68"/>
      <c r="H29" s="69"/>
      <c r="I29" s="1"/>
    </row>
    <row r="30" spans="1:9" x14ac:dyDescent="0.25">
      <c r="A30" s="1"/>
      <c r="B30" s="81" t="s">
        <v>71</v>
      </c>
      <c r="C30" s="82"/>
      <c r="D30" s="83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112</v>
      </c>
      <c r="C31" s="68"/>
      <c r="D31" s="68"/>
      <c r="E31" s="68"/>
      <c r="F31" s="68"/>
      <c r="G31" s="68"/>
      <c r="H31" s="69"/>
      <c r="I31" s="1"/>
    </row>
    <row r="32" spans="1:9" ht="30" customHeight="1" x14ac:dyDescent="0.25">
      <c r="A32" s="1"/>
      <c r="B32" s="70" t="s">
        <v>113</v>
      </c>
      <c r="C32" s="71"/>
      <c r="D32" s="72"/>
      <c r="E32" s="36">
        <v>3938627</v>
      </c>
      <c r="F32" s="10" t="s">
        <v>4</v>
      </c>
      <c r="G32" s="19"/>
      <c r="H32" s="25"/>
      <c r="I32" s="1"/>
    </row>
    <row r="33" spans="1:9" x14ac:dyDescent="0.25">
      <c r="A33" s="1"/>
      <c r="B33" s="77" t="s">
        <v>72</v>
      </c>
      <c r="C33" s="78"/>
      <c r="D33" s="79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70" t="s">
        <v>73</v>
      </c>
      <c r="C34" s="71"/>
      <c r="D34" s="72"/>
      <c r="E34" s="36">
        <v>32250</v>
      </c>
      <c r="F34" s="10" t="s">
        <v>4</v>
      </c>
      <c r="G34" s="14"/>
      <c r="H34" s="27"/>
      <c r="I34" s="1"/>
    </row>
    <row r="35" spans="1:9" x14ac:dyDescent="0.25">
      <c r="A35" s="1"/>
      <c r="B35" s="81" t="s">
        <v>74</v>
      </c>
      <c r="C35" s="82"/>
      <c r="D35" s="83"/>
      <c r="E35" s="33">
        <f>SUM(E32:E34)</f>
        <v>3970877</v>
      </c>
      <c r="F35" s="16" t="s">
        <v>4</v>
      </c>
      <c r="G35" s="33">
        <f>-E35</f>
        <v>-3970877</v>
      </c>
      <c r="H35" s="16" t="s">
        <v>4</v>
      </c>
      <c r="I35" s="1"/>
    </row>
    <row r="36" spans="1:9" x14ac:dyDescent="0.25">
      <c r="A36" s="1"/>
      <c r="B36" s="67" t="s">
        <v>50</v>
      </c>
      <c r="C36" s="68"/>
      <c r="D36" s="68"/>
      <c r="E36" s="68"/>
      <c r="F36" s="69"/>
      <c r="G36" s="34">
        <f>$G$9+$G$28+$G$30+$G$35</f>
        <v>151981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ht="30" customHeight="1" x14ac:dyDescent="0.25">
      <c r="A9" s="1"/>
      <c r="B9" s="70" t="s">
        <v>31</v>
      </c>
      <c r="C9" s="71"/>
      <c r="D9" s="72"/>
      <c r="E9" s="32">
        <f>'Fane 3. Grundlag'!G12</f>
        <v>4543813.4663613234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20">
        <f>'Fane 3. Grundlag'!G11</f>
        <v>1785964.1822115597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28</v>
      </c>
      <c r="C11" s="78"/>
      <c r="D11" s="79"/>
      <c r="E11" s="20">
        <f>'Fane 4. Generelt eff.krav'!G11</f>
        <v>46883.437830545976</v>
      </c>
      <c r="F11" s="7" t="s">
        <v>4</v>
      </c>
      <c r="G11" s="14"/>
      <c r="H11" s="15"/>
      <c r="I11" s="1"/>
    </row>
    <row r="12" spans="1:9" x14ac:dyDescent="0.25">
      <c r="A12" s="1"/>
      <c r="B12" s="81" t="s">
        <v>43</v>
      </c>
      <c r="C12" s="82"/>
      <c r="D12" s="83"/>
      <c r="E12" s="33">
        <f>$E$9-$E$11</f>
        <v>4496930.0285307774</v>
      </c>
      <c r="F12" s="17" t="s">
        <v>4</v>
      </c>
      <c r="G12" s="33">
        <f>E12</f>
        <v>4496930.0285307774</v>
      </c>
      <c r="H12" s="17" t="s">
        <v>4</v>
      </c>
      <c r="I12" s="1"/>
    </row>
    <row r="13" spans="1:9" x14ac:dyDescent="0.25">
      <c r="A13" s="1"/>
      <c r="B13" s="67" t="s">
        <v>32</v>
      </c>
      <c r="C13" s="68"/>
      <c r="D13" s="68"/>
      <c r="E13" s="68"/>
      <c r="F13" s="68"/>
      <c r="G13" s="68"/>
      <c r="H13" s="69"/>
      <c r="I13" s="1"/>
    </row>
    <row r="14" spans="1:9" x14ac:dyDescent="0.25">
      <c r="A14" s="1"/>
      <c r="B14" s="73" t="s">
        <v>106</v>
      </c>
      <c r="C14" s="74"/>
      <c r="D14" s="75"/>
      <c r="E14" s="33">
        <f>'Fane 5. Hist. over el. underdæk'!G13</f>
        <v>-226447.25</v>
      </c>
      <c r="F14" s="17" t="s">
        <v>4</v>
      </c>
      <c r="G14" s="33">
        <f>E14</f>
        <v>-226447.25</v>
      </c>
      <c r="H14" s="17" t="s">
        <v>4</v>
      </c>
      <c r="I14" s="1"/>
    </row>
    <row r="15" spans="1:9" x14ac:dyDescent="0.25">
      <c r="A15" s="1"/>
      <c r="B15" s="67" t="s">
        <v>29</v>
      </c>
      <c r="C15" s="68"/>
      <c r="D15" s="68"/>
      <c r="E15" s="68"/>
      <c r="F15" s="68"/>
      <c r="G15" s="68"/>
      <c r="H15" s="69"/>
      <c r="I15" s="1"/>
    </row>
    <row r="16" spans="1:9" x14ac:dyDescent="0.25">
      <c r="A16" s="1"/>
      <c r="B16" s="70" t="s">
        <v>35</v>
      </c>
      <c r="C16" s="71"/>
      <c r="D16" s="72"/>
      <c r="E16" s="20">
        <f>'Fane 7. Korrektion af PL2015'!G11</f>
        <v>-36568</v>
      </c>
      <c r="F16" s="7" t="s">
        <v>4</v>
      </c>
      <c r="G16" s="19"/>
      <c r="H16" s="9"/>
      <c r="I16" s="1"/>
    </row>
    <row r="17" spans="1:9" x14ac:dyDescent="0.25">
      <c r="A17" s="1"/>
      <c r="B17" s="70" t="s">
        <v>36</v>
      </c>
      <c r="C17" s="71"/>
      <c r="D17" s="72"/>
      <c r="E17" s="20">
        <f>'Fane 7. Korrektion af PL2015'!G17</f>
        <v>-6579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70" t="s">
        <v>99</v>
      </c>
      <c r="C18" s="71"/>
      <c r="D18" s="72"/>
      <c r="E18" s="20">
        <f>'Fane 7. Korrektion af PL2015'!G23</f>
        <v>-163365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70" t="s">
        <v>37</v>
      </c>
      <c r="C19" s="71"/>
      <c r="D19" s="72"/>
      <c r="E19" s="20">
        <f>'Fane 7. Korrektion af PL2015'!G30</f>
        <v>-26760.799999999999</v>
      </c>
      <c r="F19" s="7" t="s">
        <v>4</v>
      </c>
      <c r="G19" s="14"/>
      <c r="H19" s="15"/>
      <c r="I19" s="1"/>
    </row>
    <row r="20" spans="1:9" x14ac:dyDescent="0.25">
      <c r="A20" s="1"/>
      <c r="B20" s="73" t="s">
        <v>38</v>
      </c>
      <c r="C20" s="74"/>
      <c r="D20" s="75"/>
      <c r="E20" s="33">
        <f>SUM(E16:E19)</f>
        <v>-233272.8</v>
      </c>
      <c r="F20" s="17" t="s">
        <v>4</v>
      </c>
      <c r="G20" s="33">
        <f>E20</f>
        <v>-233272.8</v>
      </c>
      <c r="H20" s="17" t="s">
        <v>4</v>
      </c>
      <c r="I20" s="1"/>
    </row>
    <row r="21" spans="1:9" x14ac:dyDescent="0.25">
      <c r="A21" s="1"/>
      <c r="B21" s="67" t="s">
        <v>33</v>
      </c>
      <c r="C21" s="68"/>
      <c r="D21" s="68"/>
      <c r="E21" s="68"/>
      <c r="F21" s="68"/>
      <c r="G21" s="68"/>
      <c r="H21" s="69"/>
      <c r="I21" s="1"/>
    </row>
    <row r="22" spans="1:9" x14ac:dyDescent="0.25">
      <c r="A22" s="1"/>
      <c r="B22" s="73" t="s">
        <v>34</v>
      </c>
      <c r="C22" s="74"/>
      <c r="D22" s="75"/>
      <c r="E22" s="33">
        <f>'Fane 8. Kontrol af PL2015'!G36</f>
        <v>151981</v>
      </c>
      <c r="F22" s="17" t="s">
        <v>4</v>
      </c>
      <c r="G22" s="33">
        <f>E22</f>
        <v>151981</v>
      </c>
      <c r="H22" s="17" t="s">
        <v>4</v>
      </c>
      <c r="I22" s="1"/>
    </row>
    <row r="23" spans="1:9" x14ac:dyDescent="0.25">
      <c r="A23" s="1"/>
      <c r="B23" s="67" t="s">
        <v>39</v>
      </c>
      <c r="C23" s="68"/>
      <c r="D23" s="68"/>
      <c r="E23" s="68"/>
      <c r="F23" s="69"/>
      <c r="G23" s="34">
        <f>G12+G14+G20+G22</f>
        <v>4189190.9785307776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  <mergeCell ref="B23:F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10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0" t="s">
        <v>40</v>
      </c>
      <c r="C9" s="71"/>
      <c r="D9" s="72"/>
      <c r="E9" s="35">
        <f>'Fane 2.1. Økonomisk ramme 2017'!$E$9-'Fane 2.1. Økonomisk ramme 2017'!$E$11</f>
        <v>4496930.0285307774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2.1. Økonomisk ramme 2017'!$E$10</f>
        <v>1785964.1822115597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57111.011362340869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46671.716913647026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4507369.3229794716</v>
      </c>
      <c r="F13" s="17" t="s">
        <v>4</v>
      </c>
      <c r="G13" s="33">
        <f>E13</f>
        <v>4507369.3229794716</v>
      </c>
      <c r="H13" s="17" t="s">
        <v>4</v>
      </c>
      <c r="I13" s="1"/>
    </row>
    <row r="14" spans="1:9" x14ac:dyDescent="0.25">
      <c r="A14" s="1"/>
      <c r="B14" s="67" t="s">
        <v>32</v>
      </c>
      <c r="C14" s="68"/>
      <c r="D14" s="68"/>
      <c r="E14" s="68"/>
      <c r="F14" s="68"/>
      <c r="G14" s="68"/>
      <c r="H14" s="69"/>
      <c r="I14" s="1"/>
    </row>
    <row r="15" spans="1:9" ht="15" customHeight="1" x14ac:dyDescent="0.25">
      <c r="A15" s="1"/>
      <c r="B15" s="73" t="s">
        <v>106</v>
      </c>
      <c r="C15" s="74"/>
      <c r="D15" s="75"/>
      <c r="E15" s="37">
        <f>IF('Fane 5. Hist. over el. underdæk'!$G$12&gt;1,'Fane 5. Hist. over el. underdæk'!$G$13,0)</f>
        <v>-226447.25</v>
      </c>
      <c r="F15" s="17" t="s">
        <v>4</v>
      </c>
      <c r="G15" s="33">
        <f>E15</f>
        <v>-226447.25</v>
      </c>
      <c r="H15" s="17" t="s">
        <v>4</v>
      </c>
      <c r="I15" s="1"/>
    </row>
    <row r="16" spans="1:9" x14ac:dyDescent="0.25">
      <c r="A16" s="1"/>
      <c r="B16" s="67" t="s">
        <v>42</v>
      </c>
      <c r="C16" s="68"/>
      <c r="D16" s="68"/>
      <c r="E16" s="68"/>
      <c r="F16" s="69"/>
      <c r="G16" s="34">
        <f>G13+G15</f>
        <v>4280922.0729794716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0" t="s">
        <v>44</v>
      </c>
      <c r="C9" s="71"/>
      <c r="D9" s="72"/>
      <c r="E9" s="35">
        <f>'Fane 2.2. Økonomisk ramme 2018'!$E$9*1.0127-'Fane 2.2. Økonomisk ramme 2018'!$E$12</f>
        <v>4507369.3229794707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2.2. Økonomisk ramme 2018'!$E$10*1.0127</f>
        <v>1808645.9273256464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57243.590401839276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46460.95210723667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4518151.9612740735</v>
      </c>
      <c r="F13" s="17" t="s">
        <v>4</v>
      </c>
      <c r="G13" s="33">
        <f>E13</f>
        <v>4518151.9612740735</v>
      </c>
      <c r="H13" s="17" t="s">
        <v>4</v>
      </c>
      <c r="I13" s="1"/>
    </row>
    <row r="14" spans="1:9" x14ac:dyDescent="0.25">
      <c r="A14" s="1"/>
      <c r="B14" s="67" t="s">
        <v>32</v>
      </c>
      <c r="C14" s="68"/>
      <c r="D14" s="68"/>
      <c r="E14" s="68"/>
      <c r="F14" s="68"/>
      <c r="G14" s="68"/>
      <c r="H14" s="69"/>
      <c r="I14" s="1"/>
    </row>
    <row r="15" spans="1:9" ht="15" customHeight="1" x14ac:dyDescent="0.25">
      <c r="A15" s="1"/>
      <c r="B15" s="73" t="s">
        <v>106</v>
      </c>
      <c r="C15" s="74"/>
      <c r="D15" s="75"/>
      <c r="E15" s="37">
        <f>IF('Fane 5. Hist. over el. underdæk'!$G$12&gt;2,'Fane 5. Hist. over el. underdæk'!$G$13,0)</f>
        <v>-226447.25</v>
      </c>
      <c r="F15" s="17" t="s">
        <v>4</v>
      </c>
      <c r="G15" s="33">
        <f>E15</f>
        <v>-226447.25</v>
      </c>
      <c r="H15" s="17" t="s">
        <v>4</v>
      </c>
      <c r="I15" s="1"/>
    </row>
    <row r="16" spans="1:9" x14ac:dyDescent="0.25">
      <c r="A16" s="1"/>
      <c r="B16" s="67" t="s">
        <v>45</v>
      </c>
      <c r="C16" s="68"/>
      <c r="D16" s="68"/>
      <c r="E16" s="68"/>
      <c r="F16" s="69"/>
      <c r="G16" s="34">
        <f>G13+G15</f>
        <v>4291704.7112740735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107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0" t="s">
        <v>46</v>
      </c>
      <c r="C9" s="71"/>
      <c r="D9" s="72"/>
      <c r="E9" s="35">
        <f>'Fane 2.3. Økonomisk ramme 2019'!$E$9*1.0127-'Fane 2.3. Økonomisk ramme 2019'!$E$12</f>
        <v>4518151.9612740725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2.3. Økonomisk ramme 2019'!$E$10*1.0127</f>
        <v>1831615.7306026819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57380.529908180717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46251.139093615595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4529281.3520886377</v>
      </c>
      <c r="F13" s="17" t="s">
        <v>4</v>
      </c>
      <c r="G13" s="33">
        <f>E13</f>
        <v>4529281.3520886377</v>
      </c>
      <c r="H13" s="17" t="s">
        <v>4</v>
      </c>
      <c r="I13" s="1"/>
    </row>
    <row r="14" spans="1:9" x14ac:dyDescent="0.25">
      <c r="A14" s="1"/>
      <c r="B14" s="67" t="s">
        <v>32</v>
      </c>
      <c r="C14" s="68"/>
      <c r="D14" s="68"/>
      <c r="E14" s="68"/>
      <c r="F14" s="68"/>
      <c r="G14" s="68"/>
      <c r="H14" s="69"/>
      <c r="I14" s="1"/>
    </row>
    <row r="15" spans="1:9" ht="15" customHeight="1" x14ac:dyDescent="0.25">
      <c r="A15" s="1"/>
      <c r="B15" s="73" t="s">
        <v>106</v>
      </c>
      <c r="C15" s="74"/>
      <c r="D15" s="75"/>
      <c r="E15" s="37">
        <f>IF('Fane 5. Hist. over el. underdæk'!$G$12&gt;3,'Fane 5. Hist. over el. underdæk'!$G$13,0)</f>
        <v>-226447.25</v>
      </c>
      <c r="F15" s="17" t="s">
        <v>4</v>
      </c>
      <c r="G15" s="33">
        <f>E15</f>
        <v>-226447.25</v>
      </c>
      <c r="H15" s="17" t="s">
        <v>4</v>
      </c>
      <c r="I15" s="1"/>
    </row>
    <row r="16" spans="1:9" x14ac:dyDescent="0.25">
      <c r="A16" s="1"/>
      <c r="B16" s="67" t="s">
        <v>47</v>
      </c>
      <c r="C16" s="68"/>
      <c r="D16" s="68"/>
      <c r="E16" s="68"/>
      <c r="F16" s="69"/>
      <c r="G16" s="34">
        <f>G13+G15</f>
        <v>4302834.1020886377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48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7" t="s">
        <v>100</v>
      </c>
      <c r="C9" s="78"/>
      <c r="D9" s="78"/>
      <c r="E9" s="78"/>
      <c r="F9" s="79"/>
      <c r="G9" s="36">
        <v>1579123.7660225218</v>
      </c>
      <c r="H9" s="10" t="s">
        <v>4</v>
      </c>
      <c r="I9" s="1"/>
    </row>
    <row r="10" spans="1:9" x14ac:dyDescent="0.25">
      <c r="A10" s="1"/>
      <c r="B10" s="77" t="s">
        <v>101</v>
      </c>
      <c r="C10" s="78"/>
      <c r="D10" s="78"/>
      <c r="E10" s="78"/>
      <c r="F10" s="79"/>
      <c r="G10" s="36">
        <v>1178725.5181272414</v>
      </c>
      <c r="H10" s="10" t="s">
        <v>4</v>
      </c>
      <c r="I10" s="1"/>
    </row>
    <row r="11" spans="1:9" x14ac:dyDescent="0.25">
      <c r="A11" s="1"/>
      <c r="B11" s="77" t="s">
        <v>102</v>
      </c>
      <c r="C11" s="78"/>
      <c r="D11" s="78"/>
      <c r="E11" s="78"/>
      <c r="F11" s="79"/>
      <c r="G11" s="36">
        <v>1785964.1822115597</v>
      </c>
      <c r="H11" s="10" t="s">
        <v>4</v>
      </c>
      <c r="I11" s="1"/>
    </row>
    <row r="12" spans="1:9" x14ac:dyDescent="0.25">
      <c r="A12" s="1"/>
      <c r="B12" s="67" t="s">
        <v>48</v>
      </c>
      <c r="C12" s="68"/>
      <c r="D12" s="68"/>
      <c r="E12" s="68"/>
      <c r="F12" s="69"/>
      <c r="G12" s="34">
        <f>SUM(G9:G11)</f>
        <v>4543813.4663613234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114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104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7" t="s">
        <v>108</v>
      </c>
      <c r="C9" s="78"/>
      <c r="D9" s="78"/>
      <c r="E9" s="78"/>
      <c r="F9" s="79"/>
      <c r="G9" s="20">
        <f>'Fane 3. Grundlag'!G12-'Fane 3. Grundlag'!G11</f>
        <v>2757849.2841497636</v>
      </c>
      <c r="H9" s="10" t="s">
        <v>4</v>
      </c>
      <c r="I9" s="1"/>
    </row>
    <row r="10" spans="1:9" x14ac:dyDescent="0.25">
      <c r="A10" s="1"/>
      <c r="B10" s="77" t="s">
        <v>28</v>
      </c>
      <c r="C10" s="78"/>
      <c r="D10" s="78"/>
      <c r="E10" s="78"/>
      <c r="F10" s="79"/>
      <c r="G10" s="42">
        <f>1.7</f>
        <v>1.7</v>
      </c>
      <c r="H10" s="10" t="s">
        <v>75</v>
      </c>
      <c r="I10" s="1"/>
    </row>
    <row r="11" spans="1:9" x14ac:dyDescent="0.25">
      <c r="A11" s="1"/>
      <c r="B11" s="67" t="s">
        <v>28</v>
      </c>
      <c r="C11" s="68"/>
      <c r="D11" s="68"/>
      <c r="E11" s="68"/>
      <c r="F11" s="69"/>
      <c r="G11" s="34">
        <f>$G$9*$G$10/100</f>
        <v>46883.437830545976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115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67" t="s">
        <v>105</v>
      </c>
      <c r="C8" s="68"/>
      <c r="D8" s="68"/>
      <c r="E8" s="68"/>
      <c r="F8" s="68"/>
      <c r="G8" s="68"/>
      <c r="H8" s="69"/>
      <c r="I8" s="1"/>
    </row>
    <row r="9" spans="1:9" x14ac:dyDescent="0.25">
      <c r="A9" s="1"/>
      <c r="B9" s="77" t="s">
        <v>77</v>
      </c>
      <c r="C9" s="78"/>
      <c r="D9" s="78"/>
      <c r="E9" s="78"/>
      <c r="F9" s="79"/>
      <c r="G9" s="36">
        <v>-2258508</v>
      </c>
      <c r="H9" s="10" t="s">
        <v>4</v>
      </c>
      <c r="I9" s="1"/>
    </row>
    <row r="10" spans="1:9" x14ac:dyDescent="0.25">
      <c r="A10" s="1"/>
      <c r="B10" s="77" t="s">
        <v>78</v>
      </c>
      <c r="C10" s="78"/>
      <c r="D10" s="78"/>
      <c r="E10" s="78"/>
      <c r="F10" s="79"/>
      <c r="G10" s="36">
        <v>-1352719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-905789</v>
      </c>
      <c r="H11" s="23" t="s">
        <v>4</v>
      </c>
      <c r="I11" s="1"/>
    </row>
    <row r="12" spans="1:9" x14ac:dyDescent="0.25">
      <c r="A12" s="1"/>
      <c r="B12" s="77" t="s">
        <v>79</v>
      </c>
      <c r="C12" s="78"/>
      <c r="D12" s="78"/>
      <c r="E12" s="78"/>
      <c r="F12" s="79"/>
      <c r="G12" s="36">
        <v>4</v>
      </c>
      <c r="H12" s="10" t="s">
        <v>4</v>
      </c>
      <c r="I12" s="1"/>
    </row>
    <row r="13" spans="1:9" x14ac:dyDescent="0.25">
      <c r="A13" s="1"/>
      <c r="B13" s="67" t="s">
        <v>76</v>
      </c>
      <c r="C13" s="68"/>
      <c r="D13" s="68"/>
      <c r="E13" s="68"/>
      <c r="F13" s="69"/>
      <c r="G13" s="34">
        <f>G11/G12</f>
        <v>-226447.25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5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76" t="s">
        <v>116</v>
      </c>
      <c r="C3" s="76"/>
      <c r="D3" s="76"/>
      <c r="E3" s="76"/>
      <c r="F3" s="76"/>
      <c r="G3" s="76"/>
      <c r="H3" s="1"/>
    </row>
    <row r="4" spans="1:8" ht="15" customHeight="1" x14ac:dyDescent="0.25">
      <c r="A4" s="1"/>
      <c r="B4" s="76"/>
      <c r="C4" s="76"/>
      <c r="D4" s="76"/>
      <c r="E4" s="76"/>
      <c r="F4" s="76"/>
      <c r="G4" s="7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67" t="s">
        <v>6</v>
      </c>
      <c r="C8" s="68"/>
      <c r="D8" s="68"/>
      <c r="E8" s="68"/>
      <c r="F8" s="68"/>
      <c r="G8" s="69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15</v>
      </c>
      <c r="E10" s="36">
        <v>14805</v>
      </c>
      <c r="F10" s="20">
        <f>E10/D10</f>
        <v>987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75</v>
      </c>
      <c r="E11" s="36">
        <v>109726</v>
      </c>
      <c r="F11" s="20">
        <f t="shared" ref="F11:F12" si="0">E11/D11</f>
        <v>1463.0133333333333</v>
      </c>
      <c r="G11" s="10" t="s">
        <v>4</v>
      </c>
      <c r="H11" s="1"/>
    </row>
    <row r="12" spans="1:8" x14ac:dyDescent="0.25">
      <c r="A12" s="1"/>
      <c r="B12" s="41" t="s">
        <v>111</v>
      </c>
      <c r="C12" s="39">
        <v>2015</v>
      </c>
      <c r="D12" s="39">
        <v>75</v>
      </c>
      <c r="E12" s="36">
        <v>106469</v>
      </c>
      <c r="F12" s="20">
        <f t="shared" si="0"/>
        <v>1419.5866666666666</v>
      </c>
      <c r="G12" s="10" t="s">
        <v>4</v>
      </c>
      <c r="H12" s="1"/>
    </row>
    <row r="13" spans="1:8" x14ac:dyDescent="0.25">
      <c r="A13" s="1"/>
      <c r="B13" s="67" t="s">
        <v>5</v>
      </c>
      <c r="C13" s="68"/>
      <c r="D13" s="68"/>
      <c r="E13" s="69"/>
      <c r="F13" s="34">
        <f>SUM(F10:F12)</f>
        <v>3869.6</v>
      </c>
      <c r="G13" s="18" t="s">
        <v>4</v>
      </c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</sheetData>
  <sheetProtection password="C6BD" sheet="1" objects="1" scenarios="1"/>
  <mergeCells count="4">
    <mergeCell ref="B13:E13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Katrine Stagaard</cp:lastModifiedBy>
  <cp:lastPrinted>2016-06-14T12:57:30Z</cp:lastPrinted>
  <dcterms:created xsi:type="dcterms:W3CDTF">2016-06-02T08:51:18Z</dcterms:created>
  <dcterms:modified xsi:type="dcterms:W3CDTF">2016-12-14T13:31:49Z</dcterms:modified>
</cp:coreProperties>
</file>