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Pristalsregulering" sheetId="27" r:id="rId8"/>
  </sheets>
  <calcPr calcId="145621"/>
</workbook>
</file>

<file path=xl/calcChain.xml><?xml version="1.0" encoding="utf-8"?>
<calcChain xmlns="http://schemas.openxmlformats.org/spreadsheetml/2006/main">
  <c r="B7" i="12" l="1"/>
  <c r="G3" i="20"/>
  <c r="B8" i="12" s="1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E3" i="16" l="1"/>
  <c r="F3" i="16"/>
  <c r="G3" i="16"/>
  <c r="F3" i="17" l="1"/>
  <c r="G3" i="17"/>
  <c r="E4" i="16" l="1"/>
  <c r="H3" i="16" s="1"/>
  <c r="F4" i="16"/>
  <c r="G4" i="16"/>
  <c r="G3" i="24"/>
  <c r="K3" i="24" s="1"/>
  <c r="H3" i="24"/>
  <c r="I3" i="24"/>
  <c r="F3" i="24"/>
  <c r="B11" i="12"/>
  <c r="B12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E6" i="16"/>
  <c r="F5" i="16"/>
  <c r="J3" i="24"/>
  <c r="M3" i="24" s="1"/>
  <c r="F6" i="16"/>
  <c r="G5" i="16"/>
  <c r="G6" i="16"/>
  <c r="E5" i="16"/>
  <c r="J3" i="16" l="1"/>
  <c r="I3" i="16"/>
  <c r="B9" i="12"/>
  <c r="B10" i="12" s="1"/>
  <c r="H3" i="17"/>
  <c r="B4" i="12" s="1"/>
  <c r="I2" i="15"/>
  <c r="K2" i="15" s="1"/>
  <c r="B2" i="12" s="1"/>
  <c r="K3" i="16" l="1"/>
  <c r="B3" i="12" s="1"/>
  <c r="B5" i="12" s="1"/>
  <c r="B14" i="12" l="1"/>
  <c r="B16" i="12" s="1"/>
</calcChain>
</file>

<file path=xl/sharedStrings.xml><?xml version="1.0" encoding="utf-8"?>
<sst xmlns="http://schemas.openxmlformats.org/spreadsheetml/2006/main" count="115" uniqueCount="76">
  <si>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</si>
  <si>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</si>
  <si>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</si>
  <si>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</si>
  <si>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</si>
  <si>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</si>
  <si>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</si>
  <si>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</si>
  <si>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</si>
  <si>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</si>
  <si>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</si>
  <si>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</si>
  <si>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</si>
  <si>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</si>
  <si>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</si>
  <si>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</si>
  <si>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</si>
  <si>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</si>
  <si>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</si>
  <si>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</si>
  <si>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</si>
  <si>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</si>
  <si>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Kompensationer til lodsejere 25M zone</t>
  </si>
  <si>
    <t>SMS-service</t>
  </si>
  <si>
    <t>Måleraflæsning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</si>
  <si>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</si>
  <si>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</si>
  <si>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</si>
  <si>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</si>
  <si>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</si>
  <si>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</si>
  <si>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</si>
  <si>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</si>
  <si>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</si>
  <si>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</si>
  <si>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</si>
  <si>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</si>
  <si>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</si>
  <si>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</si>
  <si>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</si>
  <si>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</si>
  <si>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</si>
  <si>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</si>
  <si>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</si>
  <si>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</si>
  <si>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</si>
  <si>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</si>
  <si>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</si>
  <si>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</si>
  <si>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</si>
  <si>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</si>
  <si>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</si>
  <si>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</si>
  <si>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</si>
  <si>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</si>
  <si>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</si>
  <si>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</si>
  <si>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</si>
  <si>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</si>
  <si>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</si>
  <si>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</si>
  <si>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</si>
  <si>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</si>
  <si>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</si>
  <si>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</si>
  <si>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</si>
  <si>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</si>
  <si>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Planlagte investeringer (2015-niveau)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</si>
  <si>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</si>
  <si>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</si>
  <si>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</si>
  <si>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</si>
  <si>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</si>
  <si>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 indberettede MOGS</t>
  </si>
  <si>
    <t>Pristalsreguleret MOGS</t>
  </si>
  <si>
    <t>MOGS til Grundlaget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</si>
</sst>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kr.&quot;* #,##0.00_);_(&quot;kr.&quot;* \(#,##0.00\);_(&quot;kr.&quot;* &quot;-&quot;??_);_(@_)"/>
    <numFmt numFmtId="165" formatCode="_(* #,##0.00_);_(* \(#,##0.00\);_(* &quot;-&quot;??_);_(@_)"/>
    <numFmt numFmtId="166" formatCode="_ * #,##0_ ;_ * \-#,##0_ ;_ * &quot;-&quot;??_ ;_ @_ "/>
    <numFmt numFmtId="167" formatCode="\(#,##0\);#,##0_)"/>
    <numFmt numFmtId="168" formatCode="#,##0,_);\(#,##0,\)"/>
    <numFmt numFmtId="169" formatCode="\(#,##0,\);#,##0,_)"/>
    <numFmt numFmtId="170" formatCode="_-* #,##0.00_-;\-* #,##0.00_-;_-* &quot;-&quot;??_-;_-@_-"/>
    <numFmt numFmtId="171" formatCode="\(#,##0.00\);#,##0.00_)"/>
    <numFmt numFmtId="172" formatCode="#,##0_);\(#,##0\);0_);@"/>
    <numFmt numFmtId="173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70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2" fontId="32" fillId="0" borderId="0"/>
    <xf numFmtId="172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7" fontId="24" fillId="0" borderId="21" applyFill="0" applyAlignment="0" applyProtection="0"/>
    <xf numFmtId="168" fontId="24" fillId="0" borderId="21" applyFill="0" applyAlignment="0" applyProtection="0"/>
    <xf numFmtId="169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32" fillId="54" borderId="19" applyNumberFormat="0" applyFont="0" applyAlignment="0" applyProtection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165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165" fontId="6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6" fontId="3" fillId="0" borderId="24" xfId="0" applyNumberFormat="1" applyFont="1" applyFill="1" applyBorder="1"/>
    <xf numFmtId="0" fontId="0" fillId="0" borderId="0" xfId="0" applyFont="1" applyBorder="1" applyAlignment="1">
      <alignment wrapText="1"/>
    </xf>
    <xf numFmtId="166" fontId="0" fillId="0" borderId="0" xfId="27368" applyNumberFormat="1" applyFont="1"/>
    <xf numFmtId="166" fontId="0" fillId="0" borderId="0" xfId="27368" applyNumberFormat="1" applyFont="1" applyAlignment="1"/>
    <xf numFmtId="166" fontId="3" fillId="0" borderId="1" xfId="27368" applyNumberFormat="1" applyFont="1" applyBorder="1"/>
    <xf numFmtId="166" fontId="0" fillId="0" borderId="0" xfId="27368" applyNumberFormat="1" applyFont="1" applyBorder="1"/>
    <xf numFmtId="166" fontId="3" fillId="0" borderId="0" xfId="27368" applyNumberFormat="1" applyFont="1"/>
    <xf numFmtId="166" fontId="0" fillId="0" borderId="23" xfId="27368" applyNumberFormat="1" applyFont="1" applyBorder="1"/>
    <xf numFmtId="166" fontId="0" fillId="0" borderId="28" xfId="27368" applyNumberFormat="1" applyFont="1" applyFill="1" applyBorder="1"/>
    <xf numFmtId="166" fontId="0" fillId="0" borderId="0" xfId="27368" applyNumberFormat="1" applyFont="1" applyFill="1" applyBorder="1"/>
    <xf numFmtId="166" fontId="0" fillId="0" borderId="23" xfId="27368" applyNumberFormat="1" applyFont="1" applyFill="1" applyBorder="1"/>
    <xf numFmtId="166" fontId="3" fillId="0" borderId="0" xfId="27368" applyNumberFormat="1" applyFont="1" applyFill="1" applyBorder="1"/>
    <xf numFmtId="166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6" fontId="3" fillId="0" borderId="2" xfId="27368" applyNumberFormat="1" applyFont="1" applyBorder="1"/>
    <xf numFmtId="166" fontId="5" fillId="0" borderId="0" xfId="27368" applyNumberFormat="1" applyFont="1"/>
    <xf numFmtId="166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6" fontId="3" fillId="0" borderId="28" xfId="27368" applyNumberFormat="1" applyFont="1" applyBorder="1"/>
    <xf numFmtId="0" fontId="0" fillId="0" borderId="28" xfId="0" applyBorder="1"/>
    <xf numFmtId="0" fontId="0" fillId="0" borderId="28" xfId="0" applyFont="1" applyBorder="1" applyAlignment="1">
      <alignment wrapText="1"/>
    </xf>
    <xf numFmtId="166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6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165" fontId="0" fillId="0" borderId="0" xfId="27368" applyFont="1"/>
    <xf numFmtId="0" fontId="3" fillId="0" borderId="2" xfId="0" applyFont="1" applyBorder="1"/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6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6" fontId="0" fillId="0" borderId="0" xfId="27368" applyNumberFormat="1" applyFont="1" applyBorder="1" applyAlignment="1">
      <alignment wrapText="1"/>
    </xf>
    <xf numFmtId="166" fontId="3" fillId="0" borderId="26" xfId="0" applyNumberFormat="1" applyFont="1" applyFill="1" applyBorder="1" applyAlignment="1">
      <alignment horizontal="left"/>
    </xf>
    <xf numFmtId="166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5">
        <f>'Faktiske driftsomkostninger'!K2</f>
        <v>1332307</v>
      </c>
      <c r="C2" t="s">
        <v>11</v>
      </c>
    </row>
    <row r="3" spans="1:3" s="2" customFormat="1" x14ac:dyDescent="0.25">
      <c r="A3" s="5" t="s">
        <v>8</v>
      </c>
      <c r="B3" s="36">
        <f>'Miljø- og servicemål'!K3</f>
        <v>200635</v>
      </c>
      <c r="C3" t="s">
        <v>11</v>
      </c>
    </row>
    <row r="4" spans="1:3" s="2" customFormat="1" x14ac:dyDescent="0.25">
      <c r="A4" s="5" t="s">
        <v>9</v>
      </c>
      <c r="B4" s="36">
        <f>'Revisorerklæringer mm.'!H3</f>
        <v>32326.41696533333</v>
      </c>
      <c r="C4" t="s">
        <v>11</v>
      </c>
    </row>
    <row r="5" spans="1:3" s="26" customFormat="1" x14ac:dyDescent="0.25">
      <c r="A5" s="3" t="s">
        <v>12</v>
      </c>
      <c r="B5" s="48">
        <f>SUM(B2:B4)</f>
        <v>1565268.4169653333</v>
      </c>
      <c r="C5" s="62" t="s">
        <v>11</v>
      </c>
    </row>
    <row r="6" spans="1:3" x14ac:dyDescent="0.25">
      <c r="A6" s="47" t="s">
        <v>0</v>
      </c>
      <c r="B6" s="38">
        <f>Investeringer!E3</f>
        <v>740827.30089578696</v>
      </c>
      <c r="C6" s="23" t="s">
        <v>11</v>
      </c>
    </row>
    <row r="7" spans="1:3" x14ac:dyDescent="0.25">
      <c r="A7" s="4" t="s">
        <v>1</v>
      </c>
      <c r="B7" s="35">
        <f>Investeringer!F3</f>
        <v>221987.13069349868</v>
      </c>
      <c r="C7" t="s">
        <v>11</v>
      </c>
    </row>
    <row r="8" spans="1:3" x14ac:dyDescent="0.25">
      <c r="A8" s="4" t="s">
        <v>2</v>
      </c>
      <c r="B8" s="35">
        <f>Investeringer!G3</f>
        <v>96666.666666666672</v>
      </c>
      <c r="C8" t="s">
        <v>11</v>
      </c>
    </row>
    <row r="9" spans="1:3" s="22" customFormat="1" x14ac:dyDescent="0.25">
      <c r="A9" s="4" t="s">
        <v>4</v>
      </c>
      <c r="B9" s="35">
        <f>'Finansielle omkostninger'!M3</f>
        <v>108902.19474133333</v>
      </c>
      <c r="C9" t="s">
        <v>11</v>
      </c>
    </row>
    <row r="10" spans="1:3" s="22" customFormat="1" x14ac:dyDescent="0.25">
      <c r="A10" s="3" t="s">
        <v>49</v>
      </c>
      <c r="B10" s="48">
        <f>SUM(B6:B9)</f>
        <v>1168383.2929972857</v>
      </c>
      <c r="C10" s="62" t="s">
        <v>11</v>
      </c>
    </row>
    <row r="11" spans="1:3" s="22" customFormat="1" x14ac:dyDescent="0.25">
      <c r="A11" s="4" t="s">
        <v>10</v>
      </c>
      <c r="B11" s="35">
        <f>'Ikke-påvirkelige omkostninger'!M2</f>
        <v>1770294</v>
      </c>
      <c r="C11" t="s">
        <v>11</v>
      </c>
    </row>
    <row r="12" spans="1:3" s="22" customFormat="1" x14ac:dyDescent="0.25">
      <c r="A12" s="3" t="s">
        <v>70</v>
      </c>
      <c r="B12" s="48">
        <f>SUM(B11:B11)</f>
        <v>1770294</v>
      </c>
      <c r="C12" s="62" t="s">
        <v>11</v>
      </c>
    </row>
    <row r="13" spans="1:3" x14ac:dyDescent="0.25">
      <c r="A13" s="1"/>
      <c r="B13" s="35"/>
    </row>
    <row r="14" spans="1:3" ht="15.75" thickBot="1" x14ac:dyDescent="0.3">
      <c r="A14" s="27" t="s">
        <v>59</v>
      </c>
      <c r="B14" s="37">
        <f>SUM(B5,B10,B12)</f>
        <v>4503945.7099626195</v>
      </c>
      <c r="C14" s="27" t="s">
        <v>3</v>
      </c>
    </row>
    <row r="15" spans="1:3" ht="15.75" thickTop="1" x14ac:dyDescent="0.25"/>
    <row r="16" spans="1:3" ht="15.75" thickBot="1" x14ac:dyDescent="0.3">
      <c r="A16" s="27" t="s">
        <v>53</v>
      </c>
      <c r="B16" s="37">
        <f>B14*Pristalsregulering!C8*Pristalsregulering!C9</f>
        <v>4543813.4663613234</v>
      </c>
      <c r="C16" s="27" t="s">
        <v>3</v>
      </c>
    </row>
    <row r="17" spans="2:2" ht="15.75" hidden="1" thickTop="1" x14ac:dyDescent="0.25">
      <c r="B17" s="61"/>
    </row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C6BD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5" customWidth="1"/>
    <col min="4" max="4" width="22.7109375" style="35" customWidth="1"/>
    <col min="5" max="9" width="15.7109375" style="35" customWidth="1"/>
    <col min="10" max="10" width="29.85546875" style="35" customWidth="1"/>
    <col min="11" max="11" width="44.140625" style="35" customWidth="1"/>
    <col min="12" max="12" width="0" hidden="1" customWidth="1"/>
    <col min="13" max="16384" width="9.140625" hidden="1"/>
  </cols>
  <sheetData>
    <row r="1" spans="1:11" s="60" customFormat="1" ht="60.75" thickBot="1" x14ac:dyDescent="0.3">
      <c r="A1" s="58" t="s">
        <v>13</v>
      </c>
      <c r="B1" s="59" t="s">
        <v>14</v>
      </c>
      <c r="C1" s="59" t="s">
        <v>60</v>
      </c>
      <c r="D1" s="59" t="s">
        <v>61</v>
      </c>
      <c r="E1" s="59" t="s">
        <v>54</v>
      </c>
      <c r="F1" s="52" t="s">
        <v>62</v>
      </c>
      <c r="G1" s="52" t="s">
        <v>71</v>
      </c>
      <c r="H1" s="52" t="s">
        <v>63</v>
      </c>
      <c r="I1" s="52" t="s">
        <v>50</v>
      </c>
      <c r="J1" s="11" t="s">
        <v>64</v>
      </c>
      <c r="K1" s="11" t="s">
        <v>65</v>
      </c>
    </row>
    <row r="2" spans="1:11" s="23" customFormat="1" ht="15.75" thickTop="1" x14ac:dyDescent="0.25">
      <c r="A2" s="28">
        <v>2015</v>
      </c>
      <c r="B2" s="49">
        <v>1332307</v>
      </c>
      <c r="C2" s="49">
        <v>0</v>
      </c>
      <c r="D2" s="49">
        <f>B2+C2</f>
        <v>1332307</v>
      </c>
      <c r="E2" s="50">
        <f>D2</f>
        <v>1332307</v>
      </c>
      <c r="F2" s="49">
        <v>1338761.2395266998</v>
      </c>
      <c r="G2" s="49">
        <v>0</v>
      </c>
      <c r="H2" s="49">
        <f>F2-G2</f>
        <v>1338761.2395266998</v>
      </c>
      <c r="I2" s="49">
        <f>AVERAGEIF(E2:E4,"&lt;&gt;0")</f>
        <v>1332307</v>
      </c>
      <c r="J2" s="49">
        <v>1053318.7993178661</v>
      </c>
      <c r="K2" s="39">
        <f>IF(H2&gt;I2,IF(I2&gt;J2,I2,J2),H2)</f>
        <v>1332307</v>
      </c>
    </row>
    <row r="3" spans="1:11" s="23" customFormat="1" x14ac:dyDescent="0.25">
      <c r="A3" s="28">
        <v>2014</v>
      </c>
      <c r="B3" s="49"/>
      <c r="C3" s="49"/>
      <c r="D3" s="49">
        <f t="shared" ref="D3:D4" si="0">B3+C3</f>
        <v>0</v>
      </c>
      <c r="E3" s="50">
        <f>D3*Pristalsregulering!C7</f>
        <v>0</v>
      </c>
      <c r="F3" s="49"/>
      <c r="G3" s="49"/>
      <c r="H3" s="49">
        <f t="shared" ref="H3:H4" si="1">F3-G3</f>
        <v>0</v>
      </c>
      <c r="I3" s="49"/>
      <c r="J3" s="49"/>
      <c r="K3" s="35"/>
    </row>
    <row r="4" spans="1:11" x14ac:dyDescent="0.25">
      <c r="A4" s="28">
        <v>2013</v>
      </c>
      <c r="B4" s="49"/>
      <c r="C4" s="49"/>
      <c r="D4" s="49">
        <f t="shared" si="0"/>
        <v>0</v>
      </c>
      <c r="E4" s="50">
        <f>D4*Pristalsregulering!$C$6*Pristalsregulering!$C$7</f>
        <v>0</v>
      </c>
      <c r="F4" s="49"/>
      <c r="G4" s="49"/>
      <c r="H4" s="49">
        <f t="shared" si="1"/>
        <v>0</v>
      </c>
      <c r="I4" s="49"/>
      <c r="J4" s="49"/>
    </row>
    <row r="5" spans="1:11" hidden="1" x14ac:dyDescent="0.25"/>
    <row r="6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LZ9"/>
  <sheetViews>
    <sheetView workbookViewId="0"/>
  </sheetViews>
  <sheetFormatPr defaultColWidth="0" defaultRowHeight="15" zeroHeight="1" x14ac:dyDescent="0.25"/>
  <cols>
    <col min="1" max="1" width="12.28515625" customWidth="1"/>
    <col min="2" max="4" width="30.7109375" customWidth="1"/>
    <col min="5" max="5" width="30.7109375" style="55" customWidth="1"/>
    <col min="6" max="7" width="30.7109375" customWidth="1"/>
    <col min="8" max="8" width="30.7109375" style="55" customWidth="1"/>
    <col min="9" max="10" width="30.7109375" customWidth="1"/>
    <col min="11" max="11" width="30.7109375" style="55" customWidth="1"/>
    <col min="12" max="12" width="9.140625" hidden="1" customWidth="1"/>
    <col min="13" max="39" width="0" hidden="1" customWidth="1"/>
    <col min="40" max="40" width="9.140625" hidden="1" customWidth="1"/>
    <col min="41" max="71" width="0" hidden="1" customWidth="1"/>
    <col min="72" max="72" width="9.140625" hidden="1" customWidth="1"/>
    <col min="73" max="99" width="0" hidden="1" customWidth="1"/>
    <col min="100" max="101" width="9.140625" hidden="1" customWidth="1"/>
    <col min="102" max="120" width="0" hidden="1" customWidth="1"/>
    <col min="121" max="121" width="9.140625" hidden="1" customWidth="1"/>
    <col min="122" max="148" width="0" hidden="1" customWidth="1"/>
    <col min="149" max="150" width="9.140625" hidden="1" customWidth="1"/>
    <col min="151" max="159" width="0" hidden="1" customWidth="1"/>
    <col min="160" max="161" width="9.140625" hidden="1" customWidth="1"/>
    <col min="162" max="180" width="0" hidden="1" customWidth="1"/>
    <col min="181" max="181" width="9.140625" hidden="1" customWidth="1"/>
    <col min="182" max="208" width="0" hidden="1" customWidth="1"/>
    <col min="209" max="211" width="9.140625" hidden="1" customWidth="1"/>
    <col min="212" max="229" width="0" hidden="1" customWidth="1"/>
    <col min="230" max="230" width="9.140625" hidden="1" customWidth="1"/>
    <col min="231" max="257" width="0" hidden="1" customWidth="1"/>
    <col min="258" max="260" width="9.140625" hidden="1" customWidth="1"/>
    <col min="261" max="268" width="0" hidden="1" customWidth="1"/>
    <col min="269" max="271" width="9.140625" hidden="1" customWidth="1"/>
    <col min="272" max="289" width="0" hidden="1" customWidth="1"/>
    <col min="290" max="290" width="9.140625" hidden="1" customWidth="1"/>
    <col min="291" max="317" width="0" hidden="1" customWidth="1"/>
    <col min="318" max="321" width="9.140625" hidden="1" customWidth="1"/>
    <col min="322" max="338" width="0" hidden="1" customWidth="1"/>
    <col min="339" max="16384" width="9.140625" hidden="1"/>
  </cols>
  <sheetData>
    <row r="1" spans="1:11" s="27" customFormat="1" ht="15.75" thickBot="1" x14ac:dyDescent="0.3">
      <c r="A1" s="9"/>
      <c r="B1" s="33" t="s">
        <v>73</v>
      </c>
      <c r="C1" s="33"/>
      <c r="D1" s="33"/>
      <c r="E1" s="63" t="s">
        <v>74</v>
      </c>
      <c r="F1" s="10"/>
      <c r="G1" s="10"/>
      <c r="H1" s="63" t="s">
        <v>75</v>
      </c>
      <c r="I1" s="10"/>
      <c r="J1" s="10"/>
      <c r="K1" s="63"/>
    </row>
    <row r="2" spans="1:11" ht="30.75" thickTop="1" x14ac:dyDescent="0.25">
      <c r="A2" s="17" t="s">
        <v>13</v>
      </c>
      <c r="B2" s="34" t="s">
        <v>22</v>
      </c>
      <c r="C2" s="34" t="s">
        <v>23</v>
      </c>
      <c r="D2" s="34" t="s">
        <v>24</v>
      </c>
      <c r="E2" s="56" t="s">
        <v>22</v>
      </c>
      <c r="F2" s="34" t="s">
        <v>23</v>
      </c>
      <c r="G2" s="34" t="s">
        <v>24</v>
      </c>
      <c r="H2" s="56" t="s">
        <v>22</v>
      </c>
      <c r="I2" s="34" t="s">
        <v>23</v>
      </c>
      <c r="J2" s="34" t="s">
        <v>24</v>
      </c>
      <c r="K2" s="53" t="s">
        <v>25</v>
      </c>
    </row>
    <row r="3" spans="1:11" s="22" customFormat="1" x14ac:dyDescent="0.25">
      <c r="A3" s="28">
        <v>2016</v>
      </c>
      <c r="B3" s="72">
        <v>156000</v>
      </c>
      <c r="C3" s="72"/>
      <c r="D3" s="72"/>
      <c r="E3" s="45">
        <f t="shared" ref="E3:G4" si="0">B3</f>
        <v>156000</v>
      </c>
      <c r="F3" s="35">
        <f t="shared" si="0"/>
        <v>0</v>
      </c>
      <c r="G3" s="35">
        <f t="shared" si="0"/>
        <v>0</v>
      </c>
      <c r="H3" s="45">
        <f>IF(E4=0,0,AVERAGEIF(E4:E6,"&lt;&gt;0"))+E3</f>
        <v>156000</v>
      </c>
      <c r="I3" s="38">
        <f>IF(F4=0,0,AVERAGEIF(F4:F6,"&lt;&gt;0"))+F3</f>
        <v>13835</v>
      </c>
      <c r="J3" s="38">
        <f>IF(G4=0,0,AVERAGEIF(G4:G6,"&lt;&gt;0"))+G3</f>
        <v>30800</v>
      </c>
      <c r="K3" s="57">
        <f>SUM(H3:J3)</f>
        <v>200635</v>
      </c>
    </row>
    <row r="4" spans="1:11" x14ac:dyDescent="0.25">
      <c r="A4" s="28">
        <v>2015</v>
      </c>
      <c r="B4" s="35"/>
      <c r="C4" s="35">
        <v>13835</v>
      </c>
      <c r="D4" s="35">
        <v>30800</v>
      </c>
      <c r="E4" s="45">
        <f t="shared" si="0"/>
        <v>0</v>
      </c>
      <c r="F4" s="35">
        <f t="shared" si="0"/>
        <v>13835</v>
      </c>
      <c r="G4" s="35">
        <f t="shared" si="0"/>
        <v>30800</v>
      </c>
      <c r="H4" s="45"/>
      <c r="I4" s="38"/>
      <c r="J4" s="38"/>
      <c r="K4" s="54"/>
    </row>
    <row r="5" spans="1:11" x14ac:dyDescent="0.25">
      <c r="A5" s="28">
        <v>2014</v>
      </c>
      <c r="B5" s="35"/>
      <c r="C5" s="35"/>
      <c r="D5" s="35"/>
      <c r="E5" s="45">
        <f>B5*Pristalsregulering!$C$7</f>
        <v>0</v>
      </c>
      <c r="F5" s="35">
        <f>C5*Pristalsregulering!$C$7</f>
        <v>0</v>
      </c>
      <c r="G5" s="35">
        <f>D5*Pristalsregulering!$C$7</f>
        <v>0</v>
      </c>
      <c r="H5" s="45"/>
      <c r="I5" s="35"/>
      <c r="J5" s="35"/>
      <c r="K5" s="45"/>
    </row>
    <row r="6" spans="1:11" x14ac:dyDescent="0.25">
      <c r="A6" s="28">
        <v>2013</v>
      </c>
      <c r="B6" s="35"/>
      <c r="C6" s="35"/>
      <c r="D6" s="35"/>
      <c r="E6" s="45">
        <f>B6*Pristalsregulering!$C$7*Pristalsregulering!$C$6</f>
        <v>0</v>
      </c>
      <c r="F6" s="35">
        <f>C6*Pristalsregulering!$C$7*Pristalsregulering!$C$6</f>
        <v>0</v>
      </c>
      <c r="G6" s="35">
        <f>D6*Pristalsregulering!$C$7*Pristalsregulering!$C$6</f>
        <v>0</v>
      </c>
      <c r="H6" s="45"/>
      <c r="I6" s="35"/>
      <c r="J6" s="35"/>
      <c r="K6" s="45"/>
    </row>
    <row r="7" spans="1:11" hidden="1" x14ac:dyDescent="0.25"/>
    <row r="8" spans="1:11" hidden="1" x14ac:dyDescent="0.25"/>
    <row r="9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3" t="s">
        <v>26</v>
      </c>
      <c r="C1" s="74"/>
      <c r="D1" s="74"/>
      <c r="E1" s="75" t="s">
        <v>55</v>
      </c>
      <c r="F1" s="76"/>
      <c r="G1" s="77"/>
      <c r="H1" s="29"/>
    </row>
    <row r="2" spans="1:8" s="21" customFormat="1" ht="15.75" thickTop="1" x14ac:dyDescent="0.25">
      <c r="A2" s="19" t="s">
        <v>13</v>
      </c>
      <c r="B2" s="16" t="s">
        <v>27</v>
      </c>
      <c r="C2" s="20" t="s">
        <v>28</v>
      </c>
      <c r="D2" s="20" t="s">
        <v>29</v>
      </c>
      <c r="E2" s="16" t="s">
        <v>27</v>
      </c>
      <c r="F2" s="20" t="s">
        <v>28</v>
      </c>
      <c r="G2" s="46" t="s">
        <v>29</v>
      </c>
      <c r="H2" s="6" t="s">
        <v>31</v>
      </c>
    </row>
    <row r="3" spans="1:8" x14ac:dyDescent="0.25">
      <c r="A3" s="31">
        <v>2015</v>
      </c>
      <c r="B3" s="41">
        <v>14000</v>
      </c>
      <c r="C3" s="42">
        <v>17138</v>
      </c>
      <c r="D3" s="42">
        <v>0</v>
      </c>
      <c r="E3" s="41">
        <f>B3</f>
        <v>14000</v>
      </c>
      <c r="F3" s="42">
        <f t="shared" ref="F3:G3" si="0">C3</f>
        <v>17138</v>
      </c>
      <c r="G3" s="43">
        <f t="shared" si="0"/>
        <v>0</v>
      </c>
      <c r="H3" s="44">
        <f>IF(E3=0,0,AVERAGEIF(E3:E5,"&lt;&gt;0"))+IF(F3=0,0,AVERAGEIF(F3:F5,"&lt;&gt;0"))+IF(G3=0,0,AVERAGEIF(G3:G5,"&lt;&gt;0"))</f>
        <v>32326.41696533333</v>
      </c>
    </row>
    <row r="4" spans="1:8" x14ac:dyDescent="0.25">
      <c r="A4" s="31">
        <v>2014</v>
      </c>
      <c r="B4" s="41">
        <v>14000</v>
      </c>
      <c r="C4" s="42">
        <v>18184</v>
      </c>
      <c r="D4" s="42">
        <v>0</v>
      </c>
      <c r="E4" s="41">
        <f>B4*Pristalsregulering!$C$7</f>
        <v>14011.199999999999</v>
      </c>
      <c r="F4" s="42">
        <f>C4*Pristalsregulering!$C$7</f>
        <v>18198.547199999997</v>
      </c>
      <c r="G4" s="43">
        <f>D4*Pristalsregulering!$C$7</f>
        <v>0</v>
      </c>
      <c r="H4" s="42"/>
    </row>
    <row r="5" spans="1:8" x14ac:dyDescent="0.25">
      <c r="A5" s="31">
        <v>2013</v>
      </c>
      <c r="B5" s="41">
        <v>16000</v>
      </c>
      <c r="C5" s="42">
        <v>17108</v>
      </c>
      <c r="D5" s="42">
        <v>0</v>
      </c>
      <c r="E5" s="41">
        <f>B5*Pristalsregulering!$C$7*Pristalsregulering!$C$6</f>
        <v>16252.991999999998</v>
      </c>
      <c r="F5" s="42">
        <f>C5*Pristalsregulering!$C$7*Pristalsregulering!$C$6</f>
        <v>17378.511695999998</v>
      </c>
      <c r="G5" s="43">
        <f>D5*Pristalsregulering!$C$7*Pristalsregulering!$C$6</f>
        <v>0</v>
      </c>
      <c r="H5" s="42"/>
    </row>
    <row r="6" spans="1:8" hidden="1" x14ac:dyDescent="0.25"/>
    <row r="7" spans="1:8" hidden="1" x14ac:dyDescent="0.25"/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2" bestFit="1" customWidth="1"/>
    <col min="8" max="16384" width="9.140625" hidden="1"/>
  </cols>
  <sheetData>
    <row r="1" spans="1:7" s="22" customFormat="1" ht="15.75" thickBot="1" x14ac:dyDescent="0.3">
      <c r="A1" s="71"/>
      <c r="B1" s="76" t="s">
        <v>68</v>
      </c>
      <c r="C1" s="76"/>
      <c r="D1" s="77"/>
      <c r="E1" s="78" t="s">
        <v>69</v>
      </c>
      <c r="F1" s="78"/>
      <c r="G1" s="78"/>
    </row>
    <row r="2" spans="1:7" s="22" customFormat="1" ht="15.75" thickTop="1" x14ac:dyDescent="0.25">
      <c r="A2" s="69" t="s">
        <v>13</v>
      </c>
      <c r="B2" s="23" t="s">
        <v>66</v>
      </c>
      <c r="C2" s="23" t="s">
        <v>1</v>
      </c>
      <c r="D2" s="28" t="s">
        <v>67</v>
      </c>
      <c r="E2" s="22" t="s">
        <v>0</v>
      </c>
      <c r="F2" s="22" t="s">
        <v>1</v>
      </c>
      <c r="G2" s="22" t="s">
        <v>2</v>
      </c>
    </row>
    <row r="3" spans="1:7" s="22" customFormat="1" x14ac:dyDescent="0.25">
      <c r="A3" s="70">
        <v>2015</v>
      </c>
      <c r="B3" s="38">
        <v>680470.29037755774</v>
      </c>
      <c r="C3" s="38">
        <v>218293.63999999998</v>
      </c>
      <c r="D3" s="40">
        <v>96666.666666666672</v>
      </c>
      <c r="E3" s="35">
        <f>B3*Pristalsregulering!C2*Pristalsregulering!C3*Pristalsregulering!C4*Pristalsregulering!C5*Pristalsregulering!C6*Pristalsregulering!C7</f>
        <v>740827.30089578696</v>
      </c>
      <c r="F3" s="35">
        <v>221987.13069349868</v>
      </c>
      <c r="G3" s="35">
        <f>D3</f>
        <v>96666.666666666672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68"/>
      <c r="C6" s="42"/>
      <c r="D6" s="23"/>
    </row>
    <row r="7" spans="1:7" hidden="1" x14ac:dyDescent="0.25">
      <c r="A7" s="25"/>
      <c r="B7" s="25"/>
      <c r="C7" s="25"/>
      <c r="D7" s="23"/>
    </row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3" t="s">
        <v>42</v>
      </c>
      <c r="C1" s="74"/>
      <c r="D1" s="74"/>
      <c r="E1" s="74"/>
      <c r="F1" s="75" t="s">
        <v>56</v>
      </c>
      <c r="G1" s="76"/>
      <c r="H1" s="76"/>
      <c r="I1" s="76"/>
      <c r="J1" s="79" t="s">
        <v>31</v>
      </c>
      <c r="K1" s="78"/>
      <c r="L1" s="80"/>
      <c r="M1" s="13"/>
    </row>
    <row r="2" spans="1:14" s="26" customFormat="1" ht="15.75" thickTop="1" x14ac:dyDescent="0.25">
      <c r="A2" s="19" t="s">
        <v>13</v>
      </c>
      <c r="B2" s="8" t="s">
        <v>43</v>
      </c>
      <c r="C2" s="7" t="s">
        <v>44</v>
      </c>
      <c r="D2" s="7" t="s">
        <v>45</v>
      </c>
      <c r="E2" s="51" t="s">
        <v>46</v>
      </c>
      <c r="F2" s="7" t="s">
        <v>43</v>
      </c>
      <c r="G2" s="7" t="s">
        <v>44</v>
      </c>
      <c r="H2" s="7" t="s">
        <v>45</v>
      </c>
      <c r="I2" s="51" t="s">
        <v>46</v>
      </c>
      <c r="J2" s="20" t="s">
        <v>47</v>
      </c>
      <c r="K2" s="20" t="s">
        <v>44</v>
      </c>
      <c r="L2" s="15" t="s">
        <v>72</v>
      </c>
      <c r="M2" s="6" t="s">
        <v>30</v>
      </c>
      <c r="N2" s="32"/>
    </row>
    <row r="3" spans="1:14" x14ac:dyDescent="0.25">
      <c r="A3" s="28">
        <v>2015</v>
      </c>
      <c r="B3" s="45">
        <v>35896</v>
      </c>
      <c r="C3" s="38">
        <v>83883</v>
      </c>
      <c r="D3" s="38">
        <v>0</v>
      </c>
      <c r="E3" s="40">
        <v>0</v>
      </c>
      <c r="F3" s="38">
        <f>B3</f>
        <v>35896</v>
      </c>
      <c r="G3" s="38">
        <f>C3</f>
        <v>83883</v>
      </c>
      <c r="H3" s="38">
        <f>D3</f>
        <v>0</v>
      </c>
      <c r="I3" s="40">
        <f>E3</f>
        <v>0</v>
      </c>
      <c r="J3" s="42">
        <f>AVERAGE(F3:F5)</f>
        <v>19736.97234133333</v>
      </c>
      <c r="K3" s="42">
        <f>G3</f>
        <v>83883</v>
      </c>
      <c r="L3" s="43">
        <f>AVERAGE(H3:H5)+AVERAGE(I3:I5)</f>
        <v>5282.2223999999987</v>
      </c>
      <c r="M3" s="44">
        <f>SUM(J3:L3)</f>
        <v>108902.19474133333</v>
      </c>
      <c r="N3" s="23"/>
    </row>
    <row r="4" spans="1:14" x14ac:dyDescent="0.25">
      <c r="A4" s="28">
        <v>2014</v>
      </c>
      <c r="B4" s="45">
        <v>0</v>
      </c>
      <c r="C4" s="38">
        <v>151813</v>
      </c>
      <c r="D4" s="38">
        <v>0</v>
      </c>
      <c r="E4" s="40">
        <v>0</v>
      </c>
      <c r="F4" s="38">
        <f>IF(B4="","",B4*Pristalsregulering!$C$7)</f>
        <v>0</v>
      </c>
      <c r="G4" s="38">
        <f>IF(C4="","",C4*Pristalsregulering!$C$7)</f>
        <v>151934.45039999997</v>
      </c>
      <c r="H4" s="38">
        <f>IF(D4="","",D4*Pristalsregulering!$C$7)</f>
        <v>0</v>
      </c>
      <c r="I4" s="40">
        <f>IF(E4="","",E4*Pristalsregulering!$C$7)</f>
        <v>0</v>
      </c>
      <c r="J4" s="38"/>
      <c r="L4" s="40"/>
      <c r="M4" s="35"/>
    </row>
    <row r="5" spans="1:14" x14ac:dyDescent="0.25">
      <c r="A5" s="28">
        <v>2013</v>
      </c>
      <c r="B5" s="45">
        <v>22952</v>
      </c>
      <c r="C5" s="38">
        <v>7979</v>
      </c>
      <c r="D5" s="38">
        <v>15600</v>
      </c>
      <c r="E5" s="40">
        <v>0</v>
      </c>
      <c r="F5" s="38">
        <f>IF(B5="","",B5*Pristalsregulering!$C$7*Pristalsregulering!$C$6)</f>
        <v>23314.917023999995</v>
      </c>
      <c r="G5" s="38">
        <f>IF(C5="","",C5*Pristalsregulering!$C$7*Pristalsregulering!$C$6)</f>
        <v>8105.1639479999985</v>
      </c>
      <c r="H5" s="38">
        <f>IF(D5="","",D5*Pristalsregulering!$C$7*Pristalsregulering!$C$6)</f>
        <v>15846.667199999996</v>
      </c>
      <c r="I5" s="40">
        <f>IF(E5="","",E5*Pristalsregulering!$C$7*Pristalsregulering!$C$6)</f>
        <v>0</v>
      </c>
      <c r="J5" s="35"/>
      <c r="L5" s="40"/>
      <c r="M5" s="35"/>
    </row>
  </sheetData>
  <sheetProtection password="C6BD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6" t="s">
        <v>32</v>
      </c>
      <c r="C1" s="66" t="s">
        <v>33</v>
      </c>
      <c r="D1" s="66" t="s">
        <v>34</v>
      </c>
      <c r="E1" s="66" t="s">
        <v>35</v>
      </c>
      <c r="F1" s="66" t="s">
        <v>36</v>
      </c>
      <c r="G1" s="66" t="s">
        <v>37</v>
      </c>
      <c r="H1" s="66" t="s">
        <v>38</v>
      </c>
      <c r="I1" s="66" t="s">
        <v>39</v>
      </c>
      <c r="J1" s="66" t="s">
        <v>40</v>
      </c>
      <c r="K1" s="66" t="s">
        <v>57</v>
      </c>
      <c r="L1" s="67" t="s">
        <v>41</v>
      </c>
      <c r="M1" s="14" t="s">
        <v>30</v>
      </c>
    </row>
    <row r="2" spans="1:13" ht="15.75" thickTop="1" x14ac:dyDescent="0.25">
      <c r="A2" s="31">
        <v>2015</v>
      </c>
      <c r="B2" s="42">
        <v>32523</v>
      </c>
      <c r="C2" s="42">
        <v>0</v>
      </c>
      <c r="D2" s="42">
        <v>20233</v>
      </c>
      <c r="E2" s="42">
        <v>0</v>
      </c>
      <c r="F2" s="42">
        <v>49024</v>
      </c>
      <c r="G2" s="42">
        <v>1668514</v>
      </c>
      <c r="H2" s="42" t="s">
        <v>48</v>
      </c>
      <c r="I2" s="42">
        <v>0</v>
      </c>
      <c r="J2" s="42">
        <v>0</v>
      </c>
      <c r="K2" s="42"/>
      <c r="L2" s="43"/>
      <c r="M2" s="44">
        <f>SUM(B2:L2)</f>
        <v>1770294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48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48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C6BD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4" t="s">
        <v>58</v>
      </c>
      <c r="B2" s="65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51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52</v>
      </c>
      <c r="B9" s="25">
        <v>1.2699999999999999E-2</v>
      </c>
      <c r="C9" s="23">
        <f t="shared" si="2"/>
        <v>1.0126999999999999</v>
      </c>
    </row>
  </sheetData>
  <sheetProtection password="C6B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2016-12-13T10:25:00Z</dcterms:modified>
</cp:coreProperties>
</file>