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8800" yWindow="15" windowWidth="20730" windowHeight="11760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G13" i="9" l="1"/>
  <c r="E18" i="4" l="1"/>
  <c r="G10" i="9"/>
  <c r="G30" i="13"/>
  <c r="G36" i="13"/>
  <c r="F19" i="11" l="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20" i="11"/>
  <c r="F10" i="11"/>
  <c r="F21" i="11" s="1"/>
  <c r="G29" i="12" s="1"/>
  <c r="G13" i="10"/>
  <c r="E15" i="2" s="1"/>
  <c r="G15" i="2" s="1"/>
  <c r="G12" i="9"/>
  <c r="G14" i="9" s="1"/>
  <c r="G9" i="9"/>
  <c r="G11" i="9" s="1"/>
  <c r="G12" i="7"/>
  <c r="G18" i="4"/>
  <c r="E23" i="2"/>
  <c r="G23" i="2" s="1"/>
  <c r="E17" i="2"/>
  <c r="E11" i="4" l="1"/>
  <c r="E15" i="4"/>
  <c r="E10" i="4"/>
  <c r="E9" i="2"/>
  <c r="G9" i="8"/>
  <c r="G11" i="8" s="1"/>
  <c r="E11" i="2" s="1"/>
  <c r="E28" i="13"/>
  <c r="G28" i="13" s="1"/>
  <c r="G30" i="12"/>
  <c r="E20" i="2" s="1"/>
  <c r="E21" i="2" s="1"/>
  <c r="G21" i="2" s="1"/>
  <c r="G15" i="9"/>
  <c r="E12" i="2" s="1"/>
  <c r="E9" i="4" l="1"/>
  <c r="E13" i="2"/>
  <c r="G13" i="2" s="1"/>
  <c r="G24" i="2" s="1"/>
  <c r="E13" i="4" l="1"/>
  <c r="E16" i="4" s="1"/>
  <c r="E14" i="4"/>
  <c r="G16" i="4" l="1"/>
  <c r="G19" i="4" s="1"/>
</calcChain>
</file>

<file path=xl/sharedStrings.xml><?xml version="1.0" encoding="utf-8"?>
<sst xmlns="http://schemas.openxmlformats.org/spreadsheetml/2006/main" count="248" uniqueCount="127">
  <si>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</si>
  <si>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</si>
  <si>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</si>
  <si>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</si>
  <si>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</si>
  <si>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</si>
  <si>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</si>
  <si>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</si>
  <si>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</si>
  <si>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</si>
  <si>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</si>
  <si>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</si>
  <si>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</si>
  <si>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</si>
  <si>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</si>
  <si>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</si>
  <si>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</si>
  <si>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</si>
  <si>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</si>
  <si>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</si>
  <si>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</si>
  <si>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</si>
  <si>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</si>
  <si>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</si>
  <si>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</si>
  <si>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</si>
  <si>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</si>
  <si>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</si>
  <si>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</si>
  <si>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</si>
  <si>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</si>
  <si>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</si>
  <si>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</si>
  <si>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</si>
  <si>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</si>
  <si>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</si>
  <si>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</si>
  <si>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</si>
  <si>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</si>
  <si>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</si>
  <si>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</si>
  <si>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</si>
  <si>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</si>
  <si>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</si>
  <si>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</si>
  <si>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</si>
  <si>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</si>
  <si>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</si>
  <si>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</si>
  <si>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</si>
  <si>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</si>
  <si>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</si>
  <si>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</si>
  <si>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</si>
  <si>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</si>
  <si>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</si>
  <si>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</si>
  <si>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</si>
  <si>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</si>
  <si>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</si>
  <si>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</si>
  <si>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</si>
  <si>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</si>
  <si>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</si>
  <si>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</si>
  <si>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</si>
  <si>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</si>
  <si>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</si>
  <si>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</si>
  <si>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</si>
  <si>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</si>
  <si>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</si>
  <si>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</si>
  <si>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</si>
  <si>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</si>
  <si>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</si>
  <si>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</si>
  <si>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</si>
  <si>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</si>
  <si>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</si>
  <si>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</si>
  <si>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</si>
  <si>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</si>
  <si>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</si>
  <si>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</si>
  <si>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</si>
  <si>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</si>
  <si>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</si>
  <si>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</si>
  <si>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</si>
  <si>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</si>
  <si>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</si>
  <si>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</si>
  <si>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</si>
  <si>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</si>
  <si>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</si>
  <si>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</si>
  <si>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</si>
  <si>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</si>
  <si>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</si>
  <si>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</si>
  <si>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</si>
  <si>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</si>
  <si>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</si>
  <si>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</si>
  <si>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</si>
  <si>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</si>
  <si>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</si>
  <si>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</si>
  <si>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</si>
  <si>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</si>
  <si>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</si>
  <si>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</si>
  <si>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Ø110 mm &lt; Ledningsnet ≤ Ø 250 mm</t>
  </si>
  <si>
    <t>Stik på ledningsnet, Konstruktioner</t>
  </si>
  <si>
    <t>Ventiler på Ø110 mm &lt; Ledningsnet ≤ Ø 250 mm</t>
  </si>
  <si>
    <t xml:space="preserve">Afregningsmålere, mekaniske </t>
  </si>
  <si>
    <t>Boring (inkl. etablering, forerør, filter og prøvepumpning)</t>
  </si>
  <si>
    <t>Råvandsstation komplet montering og boringshus/tørbrønd</t>
  </si>
  <si>
    <t>Etageareal vandbehandlingsbygning</t>
  </si>
  <si>
    <t>Elanlæg - vandværk</t>
  </si>
  <si>
    <t>SRO-anlæg, vandværk</t>
  </si>
  <si>
    <t>Arbejdsplads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</si>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</sst>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165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37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6" fontId="29" fillId="0" borderId="22" applyFill="0" applyAlignment="0" applyProtection="0"/>
    <xf numFmtId="168" fontId="29" fillId="0" borderId="22" applyFill="0" applyAlignment="0" applyProtection="0"/>
    <xf numFmtId="169" fontId="29" fillId="0" borderId="22" applyFill="0" applyAlignment="0" applyProtection="0"/>
    <xf numFmtId="43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100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1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71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>
      <alignment horizontal="center" vertical="center"/>
    </xf>
    <xf numFmtId="0" fontId="41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8" fillId="10" borderId="11" xfId="0" quotePrefix="1" applyFont="1" applyFill="1" applyBorder="1" applyAlignment="1">
      <alignment horizontal="left"/>
    </xf>
    <xf numFmtId="0" fontId="8" fillId="10" borderId="3" xfId="0" quotePrefix="1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112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3" t="s">
        <v>23</v>
      </c>
      <c r="E13" s="64"/>
      <c r="F13" s="64"/>
      <c r="G13" s="65"/>
      <c r="H13" s="1"/>
      <c r="I13" s="1"/>
    </row>
    <row r="14" spans="1:9" x14ac:dyDescent="0.25">
      <c r="A14" s="1"/>
      <c r="B14" s="1"/>
      <c r="C14" s="3" t="s">
        <v>14</v>
      </c>
      <c r="D14" s="66" t="s">
        <v>22</v>
      </c>
      <c r="E14" s="67"/>
      <c r="F14" s="67"/>
      <c r="G14" s="68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7" t="s">
        <v>25</v>
      </c>
      <c r="E16" s="58"/>
      <c r="F16" s="58"/>
      <c r="G16" s="59"/>
      <c r="H16" s="1"/>
      <c r="I16" s="1"/>
    </row>
    <row r="17" spans="1:9" x14ac:dyDescent="0.25">
      <c r="A17" s="1"/>
      <c r="B17" s="1"/>
      <c r="C17" s="3" t="s">
        <v>17</v>
      </c>
      <c r="D17" s="57" t="s">
        <v>26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32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46" t="s">
        <v>5</v>
      </c>
      <c r="E19" s="47"/>
      <c r="F19" s="47"/>
      <c r="G19" s="48"/>
      <c r="H19" s="1"/>
      <c r="I19" s="1"/>
    </row>
    <row r="20" spans="1:9" x14ac:dyDescent="0.25">
      <c r="A20" s="1"/>
      <c r="B20" s="1"/>
      <c r="C20" s="3" t="s">
        <v>20</v>
      </c>
      <c r="D20" s="46" t="s">
        <v>28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9" t="s">
        <v>29</v>
      </c>
      <c r="E21" s="50"/>
      <c r="F21" s="50"/>
      <c r="G21" s="5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5" t="s">
        <v>6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3" t="s">
        <v>47</v>
      </c>
      <c r="C9" s="84"/>
      <c r="D9" s="84"/>
      <c r="E9" s="84"/>
      <c r="F9" s="85"/>
      <c r="G9" s="35">
        <v>70475006</v>
      </c>
      <c r="H9" s="16" t="s">
        <v>4</v>
      </c>
      <c r="I9" s="1"/>
    </row>
    <row r="10" spans="1:9" x14ac:dyDescent="0.25">
      <c r="A10" s="1"/>
      <c r="B10" s="75" t="s">
        <v>48</v>
      </c>
      <c r="C10" s="76"/>
      <c r="D10" s="76"/>
      <c r="E10" s="76"/>
      <c r="F10" s="76"/>
      <c r="G10" s="76"/>
      <c r="H10" s="77"/>
      <c r="I10" s="1"/>
    </row>
    <row r="11" spans="1:9" x14ac:dyDescent="0.25">
      <c r="A11" s="1"/>
      <c r="B11" s="79" t="s">
        <v>49</v>
      </c>
      <c r="C11" s="80"/>
      <c r="D11" s="81"/>
      <c r="E11" s="37">
        <v>4048176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50</v>
      </c>
      <c r="C12" s="80"/>
      <c r="D12" s="81"/>
      <c r="E12" s="37">
        <v>2823566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51</v>
      </c>
      <c r="C13" s="80"/>
      <c r="D13" s="81"/>
      <c r="E13" s="37">
        <v>377440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52</v>
      </c>
      <c r="C14" s="80"/>
      <c r="D14" s="81"/>
      <c r="E14" s="37">
        <v>2333967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53</v>
      </c>
      <c r="C15" s="84"/>
      <c r="D15" s="85"/>
      <c r="E15" s="32">
        <f>SUM(E11:E14)</f>
        <v>9583149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54</v>
      </c>
      <c r="C16" s="80"/>
      <c r="D16" s="81"/>
      <c r="E16" s="37">
        <v>124800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55</v>
      </c>
      <c r="C17" s="80"/>
      <c r="D17" s="81"/>
      <c r="E17" s="37">
        <v>0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56</v>
      </c>
      <c r="C18" s="80"/>
      <c r="D18" s="81"/>
      <c r="E18" s="37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57</v>
      </c>
      <c r="C19" s="84"/>
      <c r="D19" s="85"/>
      <c r="E19" s="32">
        <f>SUM(E16:E18)</f>
        <v>124800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58</v>
      </c>
      <c r="C20" s="73"/>
      <c r="D20" s="74"/>
      <c r="E20" s="37">
        <v>-3214908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59</v>
      </c>
      <c r="C21" s="73"/>
      <c r="D21" s="74"/>
      <c r="E21" s="37">
        <v>-2345121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60</v>
      </c>
      <c r="C22" s="80"/>
      <c r="D22" s="81"/>
      <c r="E22" s="37">
        <v>0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61</v>
      </c>
      <c r="C23" s="80"/>
      <c r="D23" s="81"/>
      <c r="E23" s="37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62</v>
      </c>
      <c r="C24" s="73"/>
      <c r="D24" s="74"/>
      <c r="E24" s="37">
        <v>-4147920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63</v>
      </c>
      <c r="C25" s="73"/>
      <c r="D25" s="74"/>
      <c r="E25" s="37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64</v>
      </c>
      <c r="C26" s="73"/>
      <c r="D26" s="74"/>
      <c r="E26" s="37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65</v>
      </c>
      <c r="C27" s="84"/>
      <c r="D27" s="85"/>
      <c r="E27" s="32">
        <f>SUM(E20:E26)</f>
        <v>-9707949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66</v>
      </c>
      <c r="C28" s="84"/>
      <c r="D28" s="85"/>
      <c r="E28" s="32">
        <f>E15+E19+E27</f>
        <v>0</v>
      </c>
      <c r="F28" s="16" t="s">
        <v>4</v>
      </c>
      <c r="G28" s="31">
        <f>IF(E28&lt;0,0,-E28)</f>
        <v>0</v>
      </c>
      <c r="H28" s="16" t="s">
        <v>4</v>
      </c>
      <c r="I28" s="1"/>
    </row>
    <row r="29" spans="1:9" x14ac:dyDescent="0.25">
      <c r="A29" s="1"/>
      <c r="B29" s="75" t="s">
        <v>67</v>
      </c>
      <c r="C29" s="76"/>
      <c r="D29" s="76"/>
      <c r="E29" s="76"/>
      <c r="F29" s="76"/>
      <c r="G29" s="76"/>
      <c r="H29" s="77"/>
      <c r="I29" s="1"/>
    </row>
    <row r="30" spans="1:9" x14ac:dyDescent="0.25">
      <c r="A30" s="1"/>
      <c r="B30" s="83" t="s">
        <v>67</v>
      </c>
      <c r="C30" s="84"/>
      <c r="D30" s="85"/>
      <c r="E30" s="35">
        <v>0</v>
      </c>
      <c r="F30" s="16" t="s">
        <v>4</v>
      </c>
      <c r="G30" s="32">
        <f>-$E$30</f>
        <v>0</v>
      </c>
      <c r="H30" s="16" t="s">
        <v>4</v>
      </c>
      <c r="I30" s="1"/>
    </row>
    <row r="31" spans="1:9" x14ac:dyDescent="0.25">
      <c r="A31" s="1"/>
      <c r="B31" s="99" t="s">
        <v>124</v>
      </c>
      <c r="C31" s="76"/>
      <c r="D31" s="76"/>
      <c r="E31" s="76"/>
      <c r="F31" s="76"/>
      <c r="G31" s="76"/>
      <c r="H31" s="77"/>
      <c r="I31" s="1"/>
    </row>
    <row r="32" spans="1:9" ht="30" customHeight="1" x14ac:dyDescent="0.25">
      <c r="A32" s="1"/>
      <c r="B32" s="72" t="s">
        <v>125</v>
      </c>
      <c r="C32" s="73"/>
      <c r="D32" s="74"/>
      <c r="E32" s="37">
        <v>74522374.989999995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68</v>
      </c>
      <c r="C33" s="80"/>
      <c r="D33" s="81"/>
      <c r="E33" s="37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69</v>
      </c>
      <c r="C34" s="73"/>
      <c r="D34" s="74"/>
      <c r="E34" s="37">
        <v>10000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70</v>
      </c>
      <c r="C35" s="84"/>
      <c r="D35" s="85"/>
      <c r="E35" s="32">
        <f>SUM(E32:E34)</f>
        <v>74532374.989999995</v>
      </c>
      <c r="F35" s="16" t="s">
        <v>4</v>
      </c>
      <c r="G35" s="32">
        <f>-E35</f>
        <v>-74532374.989999995</v>
      </c>
      <c r="H35" s="16" t="s">
        <v>4</v>
      </c>
      <c r="I35" s="1"/>
    </row>
    <row r="36" spans="1:9" x14ac:dyDescent="0.25">
      <c r="A36" s="1"/>
      <c r="B36" s="75" t="s">
        <v>46</v>
      </c>
      <c r="C36" s="76"/>
      <c r="D36" s="76"/>
      <c r="E36" s="76"/>
      <c r="F36" s="77"/>
      <c r="G36" s="33">
        <f>$G$9+$G$28+$G$30+$G$35</f>
        <v>-4057368.9899999946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126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109</v>
      </c>
      <c r="C8" s="76"/>
      <c r="D8" s="76"/>
      <c r="E8" s="76"/>
      <c r="F8" s="76"/>
      <c r="G8" s="76"/>
      <c r="H8" s="77"/>
      <c r="I8" s="1"/>
    </row>
    <row r="9" spans="1:9" ht="30" customHeight="1" x14ac:dyDescent="0.25">
      <c r="A9" s="1"/>
      <c r="B9" s="72" t="s">
        <v>31</v>
      </c>
      <c r="C9" s="73"/>
      <c r="D9" s="74"/>
      <c r="E9" s="34">
        <f>'Fane 3. Grundlag'!G12</f>
        <v>65375230.968275145</v>
      </c>
      <c r="F9" s="7" t="s">
        <v>4</v>
      </c>
      <c r="G9" s="8"/>
      <c r="H9" s="9"/>
      <c r="I9" s="1"/>
    </row>
    <row r="10" spans="1:9" x14ac:dyDescent="0.25">
      <c r="A10" s="1"/>
      <c r="B10" s="82" t="s">
        <v>97</v>
      </c>
      <c r="C10" s="80"/>
      <c r="D10" s="81"/>
      <c r="E10" s="20">
        <f>'Fane 3. Grundlag'!G11</f>
        <v>34140041.415775828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25</v>
      </c>
      <c r="C11" s="80"/>
      <c r="D11" s="81"/>
      <c r="E11" s="20">
        <f>'Fane 4. Individuelt eff.krav'!G11</f>
        <v>624703.79104998638</v>
      </c>
      <c r="F11" s="7" t="s">
        <v>4</v>
      </c>
      <c r="G11" s="13"/>
      <c r="H11" s="12"/>
      <c r="I11" s="1"/>
    </row>
    <row r="12" spans="1:9" x14ac:dyDescent="0.25">
      <c r="A12" s="1"/>
      <c r="B12" s="79" t="s">
        <v>26</v>
      </c>
      <c r="C12" s="80"/>
      <c r="D12" s="81"/>
      <c r="E12" s="20">
        <f>'Fane 5. Generelt eff.krav'!G15</f>
        <v>455794.26179488661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2">
        <f>$E$9-$E$11-$E$12</f>
        <v>64294732.91543027</v>
      </c>
      <c r="F13" s="17" t="s">
        <v>4</v>
      </c>
      <c r="G13" s="32">
        <f>E13</f>
        <v>64294732.91543027</v>
      </c>
      <c r="H13" s="17" t="s">
        <v>4</v>
      </c>
      <c r="I13" s="1"/>
    </row>
    <row r="14" spans="1:9" x14ac:dyDescent="0.25">
      <c r="A14" s="1"/>
      <c r="B14" s="75" t="s">
        <v>32</v>
      </c>
      <c r="C14" s="76"/>
      <c r="D14" s="76"/>
      <c r="E14" s="76"/>
      <c r="F14" s="76"/>
      <c r="G14" s="76"/>
      <c r="H14" s="77"/>
      <c r="I14" s="1"/>
    </row>
    <row r="15" spans="1:9" x14ac:dyDescent="0.25">
      <c r="A15" s="1"/>
      <c r="B15" s="69" t="s">
        <v>108</v>
      </c>
      <c r="C15" s="70"/>
      <c r="D15" s="71"/>
      <c r="E15" s="32">
        <f>'Fane 6. Hist. over el. underdæk'!G13</f>
        <v>-376286.25</v>
      </c>
      <c r="F15" s="17" t="s">
        <v>4</v>
      </c>
      <c r="G15" s="32">
        <f>E15</f>
        <v>-376286.25</v>
      </c>
      <c r="H15" s="17" t="s">
        <v>4</v>
      </c>
      <c r="I15" s="1"/>
    </row>
    <row r="16" spans="1:9" x14ac:dyDescent="0.25">
      <c r="A16" s="1"/>
      <c r="B16" s="75" t="s">
        <v>28</v>
      </c>
      <c r="C16" s="76"/>
      <c r="D16" s="76"/>
      <c r="E16" s="76"/>
      <c r="F16" s="76"/>
      <c r="G16" s="76"/>
      <c r="H16" s="77"/>
      <c r="I16" s="1"/>
    </row>
    <row r="17" spans="1:9" x14ac:dyDescent="0.25">
      <c r="A17" s="1"/>
      <c r="B17" s="72" t="s">
        <v>35</v>
      </c>
      <c r="C17" s="73"/>
      <c r="D17" s="74"/>
      <c r="E17" s="20">
        <f>'Fane 8. Korrektion af PL2015'!G11</f>
        <v>1253152.0200000033</v>
      </c>
      <c r="F17" s="7" t="s">
        <v>4</v>
      </c>
      <c r="G17" s="19"/>
      <c r="H17" s="9"/>
      <c r="I17" s="1"/>
    </row>
    <row r="18" spans="1:9" x14ac:dyDescent="0.25">
      <c r="A18" s="1"/>
      <c r="B18" s="72" t="s">
        <v>36</v>
      </c>
      <c r="C18" s="73"/>
      <c r="D18" s="74"/>
      <c r="E18" s="20">
        <f>'Fane 8. Korrektion af PL2015'!G17</f>
        <v>-529830</v>
      </c>
      <c r="F18" s="7" t="s">
        <v>4</v>
      </c>
      <c r="G18" s="13"/>
      <c r="H18" s="12"/>
      <c r="I18" s="1"/>
    </row>
    <row r="19" spans="1:9" ht="30" customHeight="1" x14ac:dyDescent="0.25">
      <c r="A19" s="1"/>
      <c r="B19" s="72" t="s">
        <v>98</v>
      </c>
      <c r="C19" s="73"/>
      <c r="D19" s="74"/>
      <c r="E19" s="20">
        <f>'Fane 8. Korrektion af PL2015'!G23</f>
        <v>-55432.160000000003</v>
      </c>
      <c r="F19" s="7" t="s">
        <v>4</v>
      </c>
      <c r="G19" s="11"/>
      <c r="H19" s="12"/>
      <c r="I19" s="1"/>
    </row>
    <row r="20" spans="1:9" ht="28.5" customHeight="1" x14ac:dyDescent="0.25">
      <c r="A20" s="1"/>
      <c r="B20" s="72" t="s">
        <v>37</v>
      </c>
      <c r="C20" s="73"/>
      <c r="D20" s="74"/>
      <c r="E20" s="20">
        <f>'Fane 8. Korrektion af PL2015'!G30</f>
        <v>254252.59333333327</v>
      </c>
      <c r="F20" s="7" t="s">
        <v>4</v>
      </c>
      <c r="G20" s="14"/>
      <c r="H20" s="15"/>
      <c r="I20" s="1"/>
    </row>
    <row r="21" spans="1:9" x14ac:dyDescent="0.25">
      <c r="A21" s="1"/>
      <c r="B21" s="69" t="s">
        <v>38</v>
      </c>
      <c r="C21" s="70"/>
      <c r="D21" s="71"/>
      <c r="E21" s="32">
        <f>SUM(E17:E20)</f>
        <v>922142.45333333651</v>
      </c>
      <c r="F21" s="17" t="s">
        <v>4</v>
      </c>
      <c r="G21" s="32">
        <f>E21</f>
        <v>922142.45333333651</v>
      </c>
      <c r="H21" s="17" t="s">
        <v>4</v>
      </c>
      <c r="I21" s="1"/>
    </row>
    <row r="22" spans="1:9" x14ac:dyDescent="0.25">
      <c r="A22" s="1"/>
      <c r="B22" s="75" t="s">
        <v>33</v>
      </c>
      <c r="C22" s="76"/>
      <c r="D22" s="76"/>
      <c r="E22" s="76"/>
      <c r="F22" s="76"/>
      <c r="G22" s="76"/>
      <c r="H22" s="77"/>
      <c r="I22" s="1"/>
    </row>
    <row r="23" spans="1:9" x14ac:dyDescent="0.25">
      <c r="A23" s="1"/>
      <c r="B23" s="69" t="s">
        <v>34</v>
      </c>
      <c r="C23" s="70"/>
      <c r="D23" s="71"/>
      <c r="E23" s="32">
        <f>'Fane 9. Kontrol af PL2015'!G36</f>
        <v>-4057368.9899999946</v>
      </c>
      <c r="F23" s="17" t="s">
        <v>4</v>
      </c>
      <c r="G23" s="32">
        <f>E23</f>
        <v>-4057368.9899999946</v>
      </c>
      <c r="H23" s="17" t="s">
        <v>4</v>
      </c>
      <c r="I23" s="1"/>
    </row>
    <row r="24" spans="1:9" x14ac:dyDescent="0.25">
      <c r="A24" s="1"/>
      <c r="B24" s="75" t="s">
        <v>39</v>
      </c>
      <c r="C24" s="76"/>
      <c r="D24" s="76"/>
      <c r="E24" s="76"/>
      <c r="F24" s="77"/>
      <c r="G24" s="33">
        <f>G13+G15+G21+G23</f>
        <v>60783220.128763609</v>
      </c>
      <c r="H24" s="18" t="s">
        <v>4</v>
      </c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</sheetData>
  <sheetProtection password="C6BD" sheet="1" objects="1" scenarios="1"/>
  <mergeCells count="18">
    <mergeCell ref="B8:H8"/>
    <mergeCell ref="B17:D17"/>
    <mergeCell ref="B21:D21"/>
    <mergeCell ref="B19:D19"/>
    <mergeCell ref="B24:F24"/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109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2" t="s">
        <v>40</v>
      </c>
      <c r="C9" s="73"/>
      <c r="D9" s="74"/>
      <c r="E9" s="36">
        <f>'Fane 2.1. Økonomisk ramme 2017'!$E$9-'Fane 2.1. Økonomisk ramme 2017'!$E$11-'Fane 2.1. Økonomisk ramme 2017'!$E$12</f>
        <v>64294732.91543027</v>
      </c>
      <c r="F9" s="7" t="s">
        <v>4</v>
      </c>
      <c r="G9" s="8"/>
      <c r="H9" s="9"/>
      <c r="I9" s="1"/>
    </row>
    <row r="10" spans="1:9" x14ac:dyDescent="0.25">
      <c r="A10" s="1"/>
      <c r="B10" s="82" t="s">
        <v>110</v>
      </c>
      <c r="C10" s="86"/>
      <c r="D10" s="87"/>
      <c r="E10" s="37">
        <f>'Fane 3. Grundlag'!$G$9*(1-'Fane 4. Individuelt eff.krav'!$G$10/100)-'Fane 5. Generelt eff.krav'!G$11</f>
        <v>15109346.36628047</v>
      </c>
      <c r="F10" s="7" t="s">
        <v>4</v>
      </c>
      <c r="G10" s="11"/>
      <c r="H10" s="12"/>
      <c r="I10" s="1"/>
    </row>
    <row r="11" spans="1:9" x14ac:dyDescent="0.25">
      <c r="A11" s="1"/>
      <c r="B11" s="82" t="s">
        <v>111</v>
      </c>
      <c r="C11" s="86"/>
      <c r="D11" s="87"/>
      <c r="E11" s="37">
        <f>'Fane 3. Grundlag'!$G$10*(1-'Fane 4. Individuelt eff.krav'!$G$10/100)-'Fane 5. Generelt eff.krav'!G$14</f>
        <v>15045345.133373972</v>
      </c>
      <c r="F11" s="7" t="s">
        <v>4</v>
      </c>
      <c r="G11" s="11"/>
      <c r="H11" s="12"/>
      <c r="I11" s="1"/>
    </row>
    <row r="12" spans="1:9" x14ac:dyDescent="0.25">
      <c r="A12" s="1"/>
      <c r="B12" s="82" t="s">
        <v>97</v>
      </c>
      <c r="C12" s="86"/>
      <c r="D12" s="87"/>
      <c r="E12" s="37">
        <f>'Fane 2.1. Økonomisk ramme 2017'!$E$10</f>
        <v>34140041.415775828</v>
      </c>
      <c r="F12" s="7" t="s">
        <v>4</v>
      </c>
      <c r="G12" s="11"/>
      <c r="H12" s="12"/>
      <c r="I12" s="1"/>
    </row>
    <row r="13" spans="1:9" x14ac:dyDescent="0.25">
      <c r="A13" s="1"/>
      <c r="B13" s="79" t="s">
        <v>41</v>
      </c>
      <c r="C13" s="80"/>
      <c r="D13" s="81"/>
      <c r="E13" s="37">
        <f>$E$9*0.0127</f>
        <v>816543.10802596435</v>
      </c>
      <c r="F13" s="7" t="s">
        <v>4</v>
      </c>
      <c r="G13" s="13"/>
      <c r="H13" s="12"/>
      <c r="I13" s="1"/>
    </row>
    <row r="14" spans="1:9" x14ac:dyDescent="0.25">
      <c r="A14" s="1"/>
      <c r="B14" s="79" t="s">
        <v>25</v>
      </c>
      <c r="C14" s="80"/>
      <c r="D14" s="81"/>
      <c r="E14" s="37">
        <f>('Fane 2.2. Økonomisk ramme 2018'!$E$9-'Fane 2.2. Økonomisk ramme 2018'!$E$12)*1.0127*'Fane 4. Individuelt eff.krav'!$G$10/100</f>
        <v>610753.12163400103</v>
      </c>
      <c r="F14" s="7" t="s">
        <v>4</v>
      </c>
      <c r="G14" s="13"/>
      <c r="H14" s="12"/>
      <c r="I14" s="1"/>
    </row>
    <row r="15" spans="1:9" x14ac:dyDescent="0.25">
      <c r="A15" s="1"/>
      <c r="B15" s="28" t="s">
        <v>26</v>
      </c>
      <c r="C15" s="29"/>
      <c r="D15" s="30"/>
      <c r="E15" s="37">
        <f>('Fane 3. Grundlag'!$G$9-'Fane 5. Generelt eff.krav'!G$11)*1.0127*0.02+('Fane 3. Grundlag'!$G$10-'Fane 5. Generelt eff.krav'!G$14)*1.0127*0.0091</f>
        <v>453907.78953180544</v>
      </c>
      <c r="F15" s="7" t="s">
        <v>4</v>
      </c>
      <c r="G15" s="14"/>
      <c r="H15" s="15"/>
      <c r="I15" s="1"/>
    </row>
    <row r="16" spans="1:9" x14ac:dyDescent="0.25">
      <c r="A16" s="1"/>
      <c r="B16" s="83" t="s">
        <v>43</v>
      </c>
      <c r="C16" s="84"/>
      <c r="D16" s="85"/>
      <c r="E16" s="32">
        <f>$E$9+$E$13-$E$14-$E$15</f>
        <v>64046615.112290427</v>
      </c>
      <c r="F16" s="17" t="s">
        <v>4</v>
      </c>
      <c r="G16" s="32">
        <f>E16</f>
        <v>64046615.112290427</v>
      </c>
      <c r="H16" s="17" t="s">
        <v>4</v>
      </c>
      <c r="I16" s="1"/>
    </row>
    <row r="17" spans="1:9" x14ac:dyDescent="0.25">
      <c r="A17" s="1"/>
      <c r="B17" s="75" t="s">
        <v>32</v>
      </c>
      <c r="C17" s="76"/>
      <c r="D17" s="76"/>
      <c r="E17" s="76"/>
      <c r="F17" s="76"/>
      <c r="G17" s="76"/>
      <c r="H17" s="77"/>
      <c r="I17" s="1"/>
    </row>
    <row r="18" spans="1:9" ht="15" customHeight="1" x14ac:dyDescent="0.25">
      <c r="A18" s="1"/>
      <c r="B18" s="69" t="s">
        <v>108</v>
      </c>
      <c r="C18" s="70"/>
      <c r="D18" s="71"/>
      <c r="E18" s="35">
        <f>IF('Fane 6. Hist. over el. underdæk'!$G$12&gt;1,'Fane 6. Hist. over el. underdæk'!$G$13,0)</f>
        <v>-376286.25</v>
      </c>
      <c r="F18" s="17" t="s">
        <v>4</v>
      </c>
      <c r="G18" s="32">
        <f>E18</f>
        <v>-376286.25</v>
      </c>
      <c r="H18" s="17" t="s">
        <v>4</v>
      </c>
      <c r="I18" s="1"/>
    </row>
    <row r="19" spans="1:9" x14ac:dyDescent="0.25">
      <c r="A19" s="1"/>
      <c r="B19" s="75" t="s">
        <v>42</v>
      </c>
      <c r="C19" s="76"/>
      <c r="D19" s="76"/>
      <c r="E19" s="76"/>
      <c r="F19" s="77"/>
      <c r="G19" s="33">
        <f>G16+G18</f>
        <v>63670328.862290427</v>
      </c>
      <c r="H19" s="18" t="s">
        <v>4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</sheetData>
  <sheetProtection password="C6BD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44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99</v>
      </c>
      <c r="C9" s="80"/>
      <c r="D9" s="80"/>
      <c r="E9" s="80"/>
      <c r="F9" s="81"/>
      <c r="G9" s="37">
        <v>15738902.464875489</v>
      </c>
      <c r="H9" s="10" t="s">
        <v>4</v>
      </c>
      <c r="I9" s="1"/>
    </row>
    <row r="10" spans="1:9" x14ac:dyDescent="0.25">
      <c r="A10" s="1"/>
      <c r="B10" s="79" t="s">
        <v>100</v>
      </c>
      <c r="C10" s="80"/>
      <c r="D10" s="80"/>
      <c r="E10" s="80"/>
      <c r="F10" s="81"/>
      <c r="G10" s="37">
        <v>15496287.087623827</v>
      </c>
      <c r="H10" s="10" t="s">
        <v>4</v>
      </c>
      <c r="I10" s="1"/>
    </row>
    <row r="11" spans="1:9" x14ac:dyDescent="0.25">
      <c r="A11" s="1"/>
      <c r="B11" s="79" t="s">
        <v>101</v>
      </c>
      <c r="C11" s="80"/>
      <c r="D11" s="80"/>
      <c r="E11" s="80"/>
      <c r="F11" s="81"/>
      <c r="G11" s="37">
        <v>34140041.415775828</v>
      </c>
      <c r="H11" s="10" t="s">
        <v>4</v>
      </c>
      <c r="I11" s="1"/>
    </row>
    <row r="12" spans="1:9" x14ac:dyDescent="0.25">
      <c r="A12" s="1"/>
      <c r="B12" s="75" t="s">
        <v>44</v>
      </c>
      <c r="C12" s="76"/>
      <c r="D12" s="76"/>
      <c r="E12" s="76"/>
      <c r="F12" s="77"/>
      <c r="G12" s="33">
        <f>SUM(G9:G11)</f>
        <v>65375230.968275145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102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25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103</v>
      </c>
      <c r="C9" s="80"/>
      <c r="D9" s="80"/>
      <c r="E9" s="80"/>
      <c r="F9" s="81"/>
      <c r="G9" s="20">
        <f>'Fane 3. Grundlag'!G12-'Fane 3. Grundlag'!G11</f>
        <v>31235189.552499317</v>
      </c>
      <c r="H9" s="10" t="s">
        <v>4</v>
      </c>
      <c r="I9" s="1"/>
    </row>
    <row r="10" spans="1:9" x14ac:dyDescent="0.25">
      <c r="A10" s="1"/>
      <c r="B10" s="79" t="s">
        <v>71</v>
      </c>
      <c r="C10" s="80"/>
      <c r="D10" s="80"/>
      <c r="E10" s="80"/>
      <c r="F10" s="81"/>
      <c r="G10" s="44">
        <v>2</v>
      </c>
      <c r="H10" s="10" t="s">
        <v>72</v>
      </c>
      <c r="I10" s="1"/>
    </row>
    <row r="11" spans="1:9" x14ac:dyDescent="0.25">
      <c r="A11" s="1"/>
      <c r="B11" s="75" t="s">
        <v>25</v>
      </c>
      <c r="C11" s="76"/>
      <c r="D11" s="76"/>
      <c r="E11" s="76"/>
      <c r="F11" s="77"/>
      <c r="G11" s="33">
        <f>$G$9*$G$10/100</f>
        <v>624703.79104998638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105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8" t="s">
        <v>99</v>
      </c>
      <c r="C9" s="89"/>
      <c r="D9" s="89"/>
      <c r="E9" s="89"/>
      <c r="F9" s="90"/>
      <c r="G9" s="20">
        <f>'Fane 3. Grundlag'!G9</f>
        <v>15738902.464875489</v>
      </c>
      <c r="H9" s="10" t="s">
        <v>4</v>
      </c>
      <c r="I9" s="1"/>
    </row>
    <row r="10" spans="1:9" x14ac:dyDescent="0.25">
      <c r="A10" s="1"/>
      <c r="B10" s="79" t="s">
        <v>26</v>
      </c>
      <c r="C10" s="80"/>
      <c r="D10" s="80"/>
      <c r="E10" s="80"/>
      <c r="F10" s="81"/>
      <c r="G10" s="42">
        <f>2</f>
        <v>2</v>
      </c>
      <c r="H10" s="10" t="s">
        <v>72</v>
      </c>
      <c r="I10" s="1"/>
    </row>
    <row r="11" spans="1:9" x14ac:dyDescent="0.25">
      <c r="A11" s="1"/>
      <c r="B11" s="83" t="s">
        <v>73</v>
      </c>
      <c r="C11" s="84"/>
      <c r="D11" s="84"/>
      <c r="E11" s="84"/>
      <c r="F11" s="85"/>
      <c r="G11" s="32">
        <f>$G$9*$G$10/100</f>
        <v>314778.04929750977</v>
      </c>
      <c r="H11" s="16" t="s">
        <v>4</v>
      </c>
      <c r="I11" s="1"/>
    </row>
    <row r="12" spans="1:9" x14ac:dyDescent="0.25">
      <c r="A12" s="1"/>
      <c r="B12" s="79" t="s">
        <v>100</v>
      </c>
      <c r="C12" s="80"/>
      <c r="D12" s="80"/>
      <c r="E12" s="80"/>
      <c r="F12" s="81"/>
      <c r="G12" s="20">
        <f>'Fane 3. Grundlag'!G10</f>
        <v>15496287.087623827</v>
      </c>
      <c r="H12" s="10" t="s">
        <v>4</v>
      </c>
      <c r="I12" s="1"/>
    </row>
    <row r="13" spans="1:9" x14ac:dyDescent="0.25">
      <c r="A13" s="1"/>
      <c r="B13" s="79" t="s">
        <v>26</v>
      </c>
      <c r="C13" s="80"/>
      <c r="D13" s="80"/>
      <c r="E13" s="80"/>
      <c r="F13" s="81"/>
      <c r="G13" s="43">
        <f>0.91</f>
        <v>0.91</v>
      </c>
      <c r="H13" s="10" t="s">
        <v>72</v>
      </c>
      <c r="I13" s="1"/>
    </row>
    <row r="14" spans="1:9" x14ac:dyDescent="0.25">
      <c r="A14" s="1"/>
      <c r="B14" s="83" t="s">
        <v>74</v>
      </c>
      <c r="C14" s="84"/>
      <c r="D14" s="84"/>
      <c r="E14" s="84"/>
      <c r="F14" s="85"/>
      <c r="G14" s="32">
        <f>$G$12*$G$13/100</f>
        <v>141016.21249737684</v>
      </c>
      <c r="H14" s="16" t="s">
        <v>4</v>
      </c>
      <c r="I14" s="1"/>
    </row>
    <row r="15" spans="1:9" x14ac:dyDescent="0.25">
      <c r="A15" s="1"/>
      <c r="B15" s="75" t="s">
        <v>104</v>
      </c>
      <c r="C15" s="76"/>
      <c r="D15" s="76"/>
      <c r="E15" s="76"/>
      <c r="F15" s="77"/>
      <c r="G15" s="33">
        <f>G11+G14</f>
        <v>455794.26179488661</v>
      </c>
      <c r="H15" s="1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4" max="4" width="15.140625" customWidth="1"/>
    <col min="6" max="6" width="14.140625" customWidth="1"/>
    <col min="7" max="7" width="9" customWidth="1"/>
    <col min="8" max="8" width="3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107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79" t="s">
        <v>76</v>
      </c>
      <c r="C9" s="80"/>
      <c r="D9" s="80"/>
      <c r="E9" s="80"/>
      <c r="F9" s="81"/>
      <c r="G9" s="37">
        <v>-1508970</v>
      </c>
      <c r="H9" s="10" t="s">
        <v>4</v>
      </c>
      <c r="I9" s="1"/>
    </row>
    <row r="10" spans="1:9" x14ac:dyDescent="0.25">
      <c r="A10" s="1"/>
      <c r="B10" s="79" t="s">
        <v>77</v>
      </c>
      <c r="C10" s="80"/>
      <c r="D10" s="80"/>
      <c r="E10" s="80"/>
      <c r="F10" s="81"/>
      <c r="G10" s="37">
        <v>-3825</v>
      </c>
      <c r="H10" s="10" t="s">
        <v>4</v>
      </c>
      <c r="I10" s="1"/>
    </row>
    <row r="11" spans="1:9" x14ac:dyDescent="0.25">
      <c r="A11" s="1"/>
      <c r="B11" s="91" t="s">
        <v>91</v>
      </c>
      <c r="C11" s="92"/>
      <c r="D11" s="92"/>
      <c r="E11" s="92"/>
      <c r="F11" s="93"/>
      <c r="G11" s="38">
        <v>-1505145</v>
      </c>
      <c r="H11" s="23" t="s">
        <v>4</v>
      </c>
      <c r="I11" s="1"/>
    </row>
    <row r="12" spans="1:9" x14ac:dyDescent="0.25">
      <c r="A12" s="1"/>
      <c r="B12" s="79" t="s">
        <v>78</v>
      </c>
      <c r="C12" s="80"/>
      <c r="D12" s="80"/>
      <c r="E12" s="80"/>
      <c r="F12" s="81"/>
      <c r="G12" s="37">
        <v>4</v>
      </c>
      <c r="H12" s="10" t="s">
        <v>4</v>
      </c>
      <c r="I12" s="1"/>
    </row>
    <row r="13" spans="1:9" x14ac:dyDescent="0.25">
      <c r="A13" s="1"/>
      <c r="B13" s="75" t="s">
        <v>75</v>
      </c>
      <c r="C13" s="76"/>
      <c r="D13" s="76"/>
      <c r="E13" s="76"/>
      <c r="F13" s="77"/>
      <c r="G13" s="33">
        <f>G11/G12</f>
        <v>-376286.25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3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30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5" t="s">
        <v>5</v>
      </c>
      <c r="C8" s="76"/>
      <c r="D8" s="76"/>
      <c r="E8" s="76"/>
      <c r="F8" s="76"/>
      <c r="G8" s="77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79</v>
      </c>
      <c r="F9" s="94" t="s">
        <v>3</v>
      </c>
      <c r="G9" s="94"/>
      <c r="H9" s="1"/>
    </row>
    <row r="10" spans="1:8" x14ac:dyDescent="0.25">
      <c r="A10" s="1"/>
      <c r="B10" s="41" t="s">
        <v>113</v>
      </c>
      <c r="C10" s="39">
        <v>2015</v>
      </c>
      <c r="D10" s="39">
        <v>75</v>
      </c>
      <c r="E10" s="37">
        <v>21401204</v>
      </c>
      <c r="F10" s="20">
        <f>E10/D10</f>
        <v>285349.38666666666</v>
      </c>
      <c r="G10" s="10" t="s">
        <v>4</v>
      </c>
      <c r="H10" s="1"/>
    </row>
    <row r="11" spans="1:8" x14ac:dyDescent="0.25">
      <c r="A11" s="1"/>
      <c r="B11" s="41" t="s">
        <v>114</v>
      </c>
      <c r="C11" s="39">
        <v>2015</v>
      </c>
      <c r="D11" s="39">
        <v>75</v>
      </c>
      <c r="E11" s="37">
        <v>1505411</v>
      </c>
      <c r="F11" s="20">
        <f t="shared" ref="F11:F20" si="0">E11/D11</f>
        <v>20072.146666666667</v>
      </c>
      <c r="G11" s="10" t="s">
        <v>4</v>
      </c>
      <c r="H11" s="1"/>
    </row>
    <row r="12" spans="1:8" x14ac:dyDescent="0.25">
      <c r="A12" s="1"/>
      <c r="B12" s="41" t="s">
        <v>115</v>
      </c>
      <c r="C12" s="39">
        <v>2015</v>
      </c>
      <c r="D12" s="39">
        <v>75</v>
      </c>
      <c r="E12" s="37">
        <v>241175</v>
      </c>
      <c r="F12" s="20">
        <f t="shared" si="0"/>
        <v>3215.6666666666665</v>
      </c>
      <c r="G12" s="10" t="s">
        <v>4</v>
      </c>
      <c r="H12" s="1"/>
    </row>
    <row r="13" spans="1:8" x14ac:dyDescent="0.25">
      <c r="A13" s="1"/>
      <c r="B13" s="41" t="s">
        <v>116</v>
      </c>
      <c r="C13" s="39">
        <v>2015</v>
      </c>
      <c r="D13" s="39">
        <v>8</v>
      </c>
      <c r="E13" s="37">
        <v>292646</v>
      </c>
      <c r="F13" s="20">
        <f t="shared" si="0"/>
        <v>36580.75</v>
      </c>
      <c r="G13" s="10" t="s">
        <v>4</v>
      </c>
      <c r="H13" s="1"/>
    </row>
    <row r="14" spans="1:8" x14ac:dyDescent="0.25">
      <c r="A14" s="1"/>
      <c r="B14" s="41" t="s">
        <v>117</v>
      </c>
      <c r="C14" s="39">
        <v>2015</v>
      </c>
      <c r="D14" s="39">
        <v>30</v>
      </c>
      <c r="E14" s="37">
        <v>3236047</v>
      </c>
      <c r="F14" s="20">
        <f t="shared" si="0"/>
        <v>107868.23333333334</v>
      </c>
      <c r="G14" s="10" t="s">
        <v>4</v>
      </c>
      <c r="H14" s="1"/>
    </row>
    <row r="15" spans="1:8" x14ac:dyDescent="0.25">
      <c r="A15" s="1"/>
      <c r="B15" s="41" t="s">
        <v>118</v>
      </c>
      <c r="C15" s="39">
        <v>2015</v>
      </c>
      <c r="D15" s="39">
        <v>30</v>
      </c>
      <c r="E15" s="37">
        <v>3541168</v>
      </c>
      <c r="F15" s="20">
        <f t="shared" si="0"/>
        <v>118038.93333333333</v>
      </c>
      <c r="G15" s="10" t="s">
        <v>4</v>
      </c>
      <c r="H15" s="1"/>
    </row>
    <row r="16" spans="1:8" x14ac:dyDescent="0.25">
      <c r="A16" s="1"/>
      <c r="B16" s="41" t="s">
        <v>113</v>
      </c>
      <c r="C16" s="39">
        <v>2015</v>
      </c>
      <c r="D16" s="39">
        <v>75</v>
      </c>
      <c r="E16" s="37">
        <v>3774673</v>
      </c>
      <c r="F16" s="20">
        <f t="shared" si="0"/>
        <v>50328.973333333335</v>
      </c>
      <c r="G16" s="10" t="s">
        <v>4</v>
      </c>
      <c r="H16" s="1"/>
    </row>
    <row r="17" spans="1:8" x14ac:dyDescent="0.25">
      <c r="A17" s="1"/>
      <c r="B17" s="41" t="s">
        <v>119</v>
      </c>
      <c r="C17" s="39">
        <v>2015</v>
      </c>
      <c r="D17" s="39">
        <v>75</v>
      </c>
      <c r="E17" s="37">
        <v>18253592</v>
      </c>
      <c r="F17" s="20">
        <f t="shared" si="0"/>
        <v>243381.22666666665</v>
      </c>
      <c r="G17" s="10" t="s">
        <v>4</v>
      </c>
      <c r="H17" s="1"/>
    </row>
    <row r="18" spans="1:8" x14ac:dyDescent="0.25">
      <c r="A18" s="1"/>
      <c r="B18" s="41" t="s">
        <v>120</v>
      </c>
      <c r="C18" s="39">
        <v>2015</v>
      </c>
      <c r="D18" s="39">
        <v>25</v>
      </c>
      <c r="E18" s="37">
        <v>15270882</v>
      </c>
      <c r="F18" s="20">
        <f t="shared" si="0"/>
        <v>610835.28</v>
      </c>
      <c r="G18" s="10" t="s">
        <v>4</v>
      </c>
      <c r="H18" s="1"/>
    </row>
    <row r="19" spans="1:8" x14ac:dyDescent="0.25">
      <c r="A19" s="1"/>
      <c r="B19" s="41" t="s">
        <v>121</v>
      </c>
      <c r="C19" s="39">
        <v>2015</v>
      </c>
      <c r="D19" s="39">
        <v>10</v>
      </c>
      <c r="E19" s="37">
        <v>1853457</v>
      </c>
      <c r="F19" s="20">
        <f t="shared" si="0"/>
        <v>185345.7</v>
      </c>
      <c r="G19" s="10" t="s">
        <v>4</v>
      </c>
      <c r="H19" s="1"/>
    </row>
    <row r="20" spans="1:8" x14ac:dyDescent="0.25">
      <c r="A20" s="1"/>
      <c r="B20" s="41" t="s">
        <v>122</v>
      </c>
      <c r="C20" s="39">
        <v>2015</v>
      </c>
      <c r="D20" s="39">
        <v>5</v>
      </c>
      <c r="E20" s="37">
        <v>1717885</v>
      </c>
      <c r="F20" s="20">
        <f t="shared" si="0"/>
        <v>343577</v>
      </c>
      <c r="G20" s="10" t="s">
        <v>4</v>
      </c>
      <c r="H20" s="1"/>
    </row>
    <row r="21" spans="1:8" x14ac:dyDescent="0.25">
      <c r="A21" s="1"/>
      <c r="B21" s="75" t="s">
        <v>123</v>
      </c>
      <c r="C21" s="76"/>
      <c r="D21" s="76"/>
      <c r="E21" s="77"/>
      <c r="F21" s="33">
        <f>SUM(F10:F20)</f>
        <v>2004593.2966666666</v>
      </c>
      <c r="G21" s="18" t="s">
        <v>4</v>
      </c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  <row r="51" spans="1:8" x14ac:dyDescent="0.25">
      <c r="A51" s="6"/>
      <c r="B51" s="6"/>
      <c r="C51" s="6"/>
      <c r="D51" s="6"/>
      <c r="E51" s="6"/>
      <c r="F51" s="6"/>
      <c r="G51" s="6"/>
      <c r="H51" s="6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6"/>
      <c r="B53" s="6"/>
      <c r="C53" s="6"/>
      <c r="D53" s="6"/>
      <c r="E53" s="6"/>
      <c r="F53" s="6"/>
      <c r="G53" s="6"/>
      <c r="H53" s="6"/>
    </row>
  </sheetData>
  <sheetProtection password="C6BD" sheet="1" objects="1" scenarios="1"/>
  <mergeCells count="4">
    <mergeCell ref="B21:E21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5" t="s">
        <v>7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6" t="s">
        <v>92</v>
      </c>
      <c r="C8" s="97"/>
      <c r="D8" s="97"/>
      <c r="E8" s="97"/>
      <c r="F8" s="97"/>
      <c r="G8" s="97"/>
      <c r="H8" s="98"/>
      <c r="I8" s="1"/>
    </row>
    <row r="9" spans="1:9" x14ac:dyDescent="0.25">
      <c r="A9" s="1"/>
      <c r="B9" s="79" t="s">
        <v>80</v>
      </c>
      <c r="C9" s="80"/>
      <c r="D9" s="80"/>
      <c r="E9" s="80"/>
      <c r="F9" s="81"/>
      <c r="G9" s="37">
        <v>33966212.020000003</v>
      </c>
      <c r="H9" s="10" t="s">
        <v>4</v>
      </c>
      <c r="I9" s="1"/>
    </row>
    <row r="10" spans="1:9" x14ac:dyDescent="0.25">
      <c r="A10" s="1"/>
      <c r="B10" s="79" t="s">
        <v>81</v>
      </c>
      <c r="C10" s="80"/>
      <c r="D10" s="80"/>
      <c r="E10" s="80"/>
      <c r="F10" s="81"/>
      <c r="G10" s="37">
        <v>32713060</v>
      </c>
      <c r="H10" s="10" t="s">
        <v>4</v>
      </c>
      <c r="I10" s="1"/>
    </row>
    <row r="11" spans="1:9" x14ac:dyDescent="0.25">
      <c r="A11" s="1"/>
      <c r="B11" s="75" t="s">
        <v>82</v>
      </c>
      <c r="C11" s="76"/>
      <c r="D11" s="76"/>
      <c r="E11" s="76"/>
      <c r="F11" s="77"/>
      <c r="G11" s="33">
        <f>G9-G10</f>
        <v>1253152.0200000033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6" t="s">
        <v>83</v>
      </c>
      <c r="C14" s="97"/>
      <c r="D14" s="97"/>
      <c r="E14" s="97"/>
      <c r="F14" s="97"/>
      <c r="G14" s="97"/>
      <c r="H14" s="98"/>
      <c r="I14" s="1"/>
    </row>
    <row r="15" spans="1:9" x14ac:dyDescent="0.25">
      <c r="A15" s="1"/>
      <c r="B15" s="79" t="s">
        <v>84</v>
      </c>
      <c r="C15" s="80"/>
      <c r="D15" s="80"/>
      <c r="E15" s="80"/>
      <c r="F15" s="81"/>
      <c r="G15" s="37">
        <v>4809470</v>
      </c>
      <c r="H15" s="10" t="s">
        <v>4</v>
      </c>
      <c r="I15" s="1"/>
    </row>
    <row r="16" spans="1:9" x14ac:dyDescent="0.25">
      <c r="A16" s="1"/>
      <c r="B16" s="79" t="s">
        <v>85</v>
      </c>
      <c r="C16" s="80"/>
      <c r="D16" s="80"/>
      <c r="E16" s="80"/>
      <c r="F16" s="81"/>
      <c r="G16" s="37">
        <v>5339300</v>
      </c>
      <c r="H16" s="10" t="s">
        <v>4</v>
      </c>
      <c r="I16" s="1"/>
    </row>
    <row r="17" spans="1:9" x14ac:dyDescent="0.25">
      <c r="A17" s="1"/>
      <c r="B17" s="75" t="s">
        <v>86</v>
      </c>
      <c r="C17" s="76"/>
      <c r="D17" s="76"/>
      <c r="E17" s="76"/>
      <c r="F17" s="77"/>
      <c r="G17" s="33">
        <f>G15-G16</f>
        <v>-529830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6" t="s">
        <v>93</v>
      </c>
      <c r="C20" s="97"/>
      <c r="D20" s="97"/>
      <c r="E20" s="97"/>
      <c r="F20" s="97"/>
      <c r="G20" s="97"/>
      <c r="H20" s="98"/>
      <c r="I20" s="1"/>
    </row>
    <row r="21" spans="1:9" x14ac:dyDescent="0.25">
      <c r="A21" s="1"/>
      <c r="B21" s="79" t="s">
        <v>94</v>
      </c>
      <c r="C21" s="80"/>
      <c r="D21" s="80"/>
      <c r="E21" s="80"/>
      <c r="F21" s="81"/>
      <c r="G21" s="37">
        <v>200767.84</v>
      </c>
      <c r="H21" s="10" t="s">
        <v>4</v>
      </c>
      <c r="I21" s="1"/>
    </row>
    <row r="22" spans="1:9" x14ac:dyDescent="0.25">
      <c r="A22" s="1"/>
      <c r="B22" s="79" t="s">
        <v>96</v>
      </c>
      <c r="C22" s="80"/>
      <c r="D22" s="80"/>
      <c r="E22" s="80"/>
      <c r="F22" s="81"/>
      <c r="G22" s="37">
        <v>256200</v>
      </c>
      <c r="H22" s="10" t="s">
        <v>4</v>
      </c>
      <c r="I22" s="1"/>
    </row>
    <row r="23" spans="1:9" x14ac:dyDescent="0.25">
      <c r="A23" s="1"/>
      <c r="B23" s="75" t="s">
        <v>95</v>
      </c>
      <c r="C23" s="76"/>
      <c r="D23" s="76"/>
      <c r="E23" s="76"/>
      <c r="F23" s="77"/>
      <c r="G23" s="33">
        <f>G21-G22</f>
        <v>-55432.160000000003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6" t="s">
        <v>87</v>
      </c>
      <c r="C26" s="97"/>
      <c r="D26" s="97"/>
      <c r="E26" s="97"/>
      <c r="F26" s="97"/>
      <c r="G26" s="97"/>
      <c r="H26" s="98"/>
      <c r="I26" s="1"/>
    </row>
    <row r="27" spans="1:9" x14ac:dyDescent="0.25">
      <c r="A27" s="1"/>
      <c r="B27" s="79" t="s">
        <v>88</v>
      </c>
      <c r="C27" s="80"/>
      <c r="D27" s="80"/>
      <c r="E27" s="80"/>
      <c r="F27" s="81"/>
      <c r="G27" s="37">
        <v>1629967</v>
      </c>
      <c r="H27" s="10" t="s">
        <v>4</v>
      </c>
      <c r="I27" s="1"/>
    </row>
    <row r="28" spans="1:9" x14ac:dyDescent="0.25">
      <c r="A28" s="1"/>
      <c r="B28" s="79" t="s">
        <v>89</v>
      </c>
      <c r="C28" s="80"/>
      <c r="D28" s="80"/>
      <c r="E28" s="80"/>
      <c r="F28" s="81"/>
      <c r="G28" s="37">
        <v>2124967</v>
      </c>
      <c r="H28" s="10" t="s">
        <v>4</v>
      </c>
      <c r="I28" s="1"/>
    </row>
    <row r="29" spans="1:9" x14ac:dyDescent="0.25">
      <c r="A29" s="1"/>
      <c r="B29" s="79" t="s">
        <v>90</v>
      </c>
      <c r="C29" s="80"/>
      <c r="D29" s="80"/>
      <c r="E29" s="80"/>
      <c r="F29" s="81"/>
      <c r="G29" s="20">
        <f>'Fane 7. Gen. inv. i 2015'!F21</f>
        <v>2004593.2966666666</v>
      </c>
      <c r="H29" s="10" t="s">
        <v>4</v>
      </c>
      <c r="I29" s="1"/>
    </row>
    <row r="30" spans="1:9" x14ac:dyDescent="0.25">
      <c r="A30" s="1"/>
      <c r="B30" s="75" t="s">
        <v>87</v>
      </c>
      <c r="C30" s="76"/>
      <c r="D30" s="76"/>
      <c r="E30" s="76"/>
      <c r="F30" s="77"/>
      <c r="G30" s="33">
        <f>G29-G27+G29-G28</f>
        <v>254252.59333333327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2016-12-13T11:29:31Z</dcterms:modified>
</cp:coreProperties>
</file>