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2" i="11" l="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3" i="11"/>
  <c r="F10" i="11"/>
  <c r="F24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s="1"/>
  <c r="E14" i="4"/>
  <c r="G16" i="4" l="1"/>
  <c r="G19" i="4" s="1"/>
</calcChain>
</file>

<file path=xl/sharedStrings.xml><?xml version="1.0" encoding="utf-8"?>
<sst xmlns="http://schemas.openxmlformats.org/spreadsheetml/2006/main" count="254" uniqueCount="131">
  <si>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</si>
  <si>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</si>
  <si>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</si>
  <si>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</si>
  <si>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</si>
  <si>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</si>
  <si>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</si>
  <si>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</si>
  <si>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</si>
  <si>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</si>
  <si>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</si>
  <si>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</si>
  <si>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</si>
  <si>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</si>
  <si>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</si>
  <si>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</si>
  <si>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</si>
  <si>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</si>
  <si>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</si>
  <si>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</si>
  <si>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</si>
  <si>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</si>
  <si>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</si>
  <si>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</si>
  <si>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</si>
  <si>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</si>
  <si>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</si>
  <si>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</si>
  <si>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</si>
  <si>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</si>
  <si>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</si>
  <si>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</si>
  <si>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</si>
  <si>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</si>
  <si>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</si>
  <si>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</si>
  <si>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</si>
  <si>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</si>
  <si>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</si>
  <si>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</si>
  <si>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</si>
  <si>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</si>
  <si>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</si>
  <si>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</si>
  <si>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</si>
  <si>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</si>
  <si>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</si>
  <si>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</si>
  <si>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</si>
  <si>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</si>
  <si>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</si>
  <si>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</si>
  <si>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</si>
  <si>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</si>
  <si>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</si>
  <si>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</si>
  <si>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</si>
  <si>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</si>
  <si>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</si>
  <si>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</si>
  <si>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</si>
  <si>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</si>
  <si>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</si>
  <si>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</si>
  <si>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</si>
  <si>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</si>
  <si>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</si>
  <si>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</si>
  <si>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</si>
  <si>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</si>
  <si>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</si>
  <si>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</si>
  <si>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</si>
  <si>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</si>
  <si>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</si>
  <si>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</si>
  <si>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</si>
  <si>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</si>
  <si>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</si>
  <si>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</si>
  <si>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</si>
  <si>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</si>
  <si>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</si>
  <si>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</si>
  <si>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</si>
  <si>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</si>
  <si>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</si>
  <si>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</si>
  <si>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</si>
  <si>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</si>
  <si>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</si>
  <si>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</si>
  <si>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</si>
  <si>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</si>
  <si>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</si>
  <si>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</si>
  <si>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</si>
  <si>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</si>
  <si>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</si>
  <si>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</si>
  <si>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</si>
  <si>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</si>
  <si>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</si>
  <si>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</si>
  <si>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</si>
  <si>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</si>
  <si>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</si>
  <si>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</si>
  <si>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</si>
  <si>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</si>
  <si>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</si>
  <si>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</si>
  <si>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</si>
  <si>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Boring (inkl. etablering, forerør, filter og prøvepumpning)</t>
  </si>
  <si>
    <t>Filteranlæg, åbne filtre, enkelt filtrering, Mek./EL</t>
  </si>
  <si>
    <t>Filteranlæg, åbne filtre, dobbelt filtrering, Kontruktioner</t>
  </si>
  <si>
    <t>Rentvandsbeholder  insitu støbt</t>
  </si>
  <si>
    <t>SRO-anlæg, vandværk</t>
  </si>
  <si>
    <t>Ø 50mm &lt; Ledningsnet ≤ Ø110 mm</t>
  </si>
  <si>
    <t>Ventiler på ledningsnet ≤ Ø50 mm</t>
  </si>
  <si>
    <t>Ventiler på Ø 50mm &lt; Ledningsnet ≤ Ø110 mm</t>
  </si>
  <si>
    <t>Pumpestation (inkl. evt. hydrofor)/trykforøger, Konstruktioner</t>
  </si>
  <si>
    <t>Stik på ledningsnet, Mek./EL</t>
  </si>
  <si>
    <t>SRO-brønd/kvarterbrønd/sektionsbrønd, SRO</t>
  </si>
  <si>
    <t>Inspektionsbrønd, Konstruktioner</t>
  </si>
  <si>
    <t xml:space="preserve">Afregningsmålere, mekaniske </t>
  </si>
  <si>
    <t>Køretøjer, små lastvogne (&lt; 3.500 kg.)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</si>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</sst>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0" t="s">
        <v>47</v>
      </c>
      <c r="C9" s="81"/>
      <c r="D9" s="81"/>
      <c r="E9" s="81"/>
      <c r="F9" s="82"/>
      <c r="G9" s="35">
        <v>37988939</v>
      </c>
      <c r="H9" s="16" t="s">
        <v>4</v>
      </c>
      <c r="I9" s="1"/>
    </row>
    <row r="10" spans="1:9" x14ac:dyDescent="0.25">
      <c r="A10" s="1"/>
      <c r="B10" s="83" t="s">
        <v>48</v>
      </c>
      <c r="C10" s="84"/>
      <c r="D10" s="84"/>
      <c r="E10" s="84"/>
      <c r="F10" s="84"/>
      <c r="G10" s="84"/>
      <c r="H10" s="85"/>
      <c r="I10" s="1"/>
    </row>
    <row r="11" spans="1:9" x14ac:dyDescent="0.25">
      <c r="A11" s="1"/>
      <c r="B11" s="73" t="s">
        <v>49</v>
      </c>
      <c r="C11" s="74"/>
      <c r="D11" s="75"/>
      <c r="E11" s="37">
        <v>7514652</v>
      </c>
      <c r="F11" s="10" t="s">
        <v>4</v>
      </c>
      <c r="G11" s="19"/>
      <c r="H11" s="25"/>
      <c r="I11" s="1"/>
    </row>
    <row r="12" spans="1:9" x14ac:dyDescent="0.25">
      <c r="A12" s="1"/>
      <c r="B12" s="73" t="s">
        <v>50</v>
      </c>
      <c r="C12" s="74"/>
      <c r="D12" s="75"/>
      <c r="E12" s="37">
        <v>1622482</v>
      </c>
      <c r="F12" s="10" t="s">
        <v>4</v>
      </c>
      <c r="G12" s="13"/>
      <c r="H12" s="26"/>
      <c r="I12" s="1"/>
    </row>
    <row r="13" spans="1:9" x14ac:dyDescent="0.25">
      <c r="A13" s="1"/>
      <c r="B13" s="73" t="s">
        <v>51</v>
      </c>
      <c r="C13" s="74"/>
      <c r="D13" s="75"/>
      <c r="E13" s="37">
        <v>-213423</v>
      </c>
      <c r="F13" s="10" t="s">
        <v>4</v>
      </c>
      <c r="G13" s="13"/>
      <c r="H13" s="26"/>
      <c r="I13" s="1"/>
    </row>
    <row r="14" spans="1:9" x14ac:dyDescent="0.25">
      <c r="A14" s="1"/>
      <c r="B14" s="73" t="s">
        <v>52</v>
      </c>
      <c r="C14" s="74"/>
      <c r="D14" s="75"/>
      <c r="E14" s="37">
        <v>1315200</v>
      </c>
      <c r="F14" s="10" t="s">
        <v>4</v>
      </c>
      <c r="G14" s="13"/>
      <c r="H14" s="26"/>
      <c r="I14" s="1"/>
    </row>
    <row r="15" spans="1:9" x14ac:dyDescent="0.25">
      <c r="A15" s="1"/>
      <c r="B15" s="80" t="s">
        <v>53</v>
      </c>
      <c r="C15" s="81"/>
      <c r="D15" s="82"/>
      <c r="E15" s="32">
        <f>SUM(E11:E14)</f>
        <v>10238911</v>
      </c>
      <c r="F15" s="16" t="s">
        <v>4</v>
      </c>
      <c r="G15" s="13"/>
      <c r="H15" s="26"/>
      <c r="I15" s="1"/>
    </row>
    <row r="16" spans="1:9" x14ac:dyDescent="0.25">
      <c r="A16" s="1"/>
      <c r="B16" s="73" t="s">
        <v>54</v>
      </c>
      <c r="C16" s="74"/>
      <c r="D16" s="75"/>
      <c r="E16" s="37">
        <v>458710.25</v>
      </c>
      <c r="F16" s="10" t="s">
        <v>4</v>
      </c>
      <c r="G16" s="13"/>
      <c r="H16" s="26"/>
      <c r="I16" s="1"/>
    </row>
    <row r="17" spans="1:9" x14ac:dyDescent="0.25">
      <c r="A17" s="1"/>
      <c r="B17" s="73" t="s">
        <v>55</v>
      </c>
      <c r="C17" s="74"/>
      <c r="D17" s="75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3" t="s">
        <v>56</v>
      </c>
      <c r="C18" s="74"/>
      <c r="D18" s="75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0" t="s">
        <v>57</v>
      </c>
      <c r="C19" s="81"/>
      <c r="D19" s="82"/>
      <c r="E19" s="32">
        <f>SUM(E16:E18)</f>
        <v>458710.25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58</v>
      </c>
      <c r="C20" s="71"/>
      <c r="D20" s="72"/>
      <c r="E20" s="37">
        <v>-160542.39000000001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59</v>
      </c>
      <c r="C21" s="71"/>
      <c r="D21" s="72"/>
      <c r="E21" s="37">
        <v>-10249180</v>
      </c>
      <c r="F21" s="10" t="s">
        <v>4</v>
      </c>
      <c r="G21" s="13"/>
      <c r="H21" s="26"/>
      <c r="I21" s="1"/>
    </row>
    <row r="22" spans="1:9" x14ac:dyDescent="0.25">
      <c r="A22" s="1"/>
      <c r="B22" s="73" t="s">
        <v>60</v>
      </c>
      <c r="C22" s="74"/>
      <c r="D22" s="75"/>
      <c r="E22" s="37">
        <v>-14862703</v>
      </c>
      <c r="F22" s="10" t="s">
        <v>4</v>
      </c>
      <c r="G22" s="13"/>
      <c r="H22" s="26"/>
      <c r="I22" s="1"/>
    </row>
    <row r="23" spans="1:9" x14ac:dyDescent="0.25">
      <c r="A23" s="1"/>
      <c r="B23" s="73" t="s">
        <v>61</v>
      </c>
      <c r="C23" s="74"/>
      <c r="D23" s="75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62</v>
      </c>
      <c r="C24" s="71"/>
      <c r="D24" s="72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63</v>
      </c>
      <c r="C25" s="71"/>
      <c r="D25" s="72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64</v>
      </c>
      <c r="C26" s="71"/>
      <c r="D26" s="72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0" t="s">
        <v>65</v>
      </c>
      <c r="C27" s="81"/>
      <c r="D27" s="82"/>
      <c r="E27" s="32">
        <f>SUM(E20:E26)</f>
        <v>-25272425.390000001</v>
      </c>
      <c r="F27" s="16" t="s">
        <v>4</v>
      </c>
      <c r="G27" s="14"/>
      <c r="H27" s="27"/>
      <c r="I27" s="1"/>
    </row>
    <row r="28" spans="1:9" x14ac:dyDescent="0.25">
      <c r="A28" s="1"/>
      <c r="B28" s="80" t="s">
        <v>66</v>
      </c>
      <c r="C28" s="81"/>
      <c r="D28" s="82"/>
      <c r="E28" s="32">
        <f>E15+E19+E27</f>
        <v>-14574804.140000001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83" t="s">
        <v>67</v>
      </c>
      <c r="C29" s="84"/>
      <c r="D29" s="84"/>
      <c r="E29" s="84"/>
      <c r="F29" s="84"/>
      <c r="G29" s="84"/>
      <c r="H29" s="85"/>
      <c r="I29" s="1"/>
    </row>
    <row r="30" spans="1:9" x14ac:dyDescent="0.25">
      <c r="A30" s="1"/>
      <c r="B30" s="80" t="s">
        <v>67</v>
      </c>
      <c r="C30" s="81"/>
      <c r="D30" s="82"/>
      <c r="E30" s="35">
        <v>1609256</v>
      </c>
      <c r="F30" s="16" t="s">
        <v>4</v>
      </c>
      <c r="G30" s="32">
        <f>-$E$30</f>
        <v>-1609256</v>
      </c>
      <c r="H30" s="16" t="s">
        <v>4</v>
      </c>
      <c r="I30" s="1"/>
    </row>
    <row r="31" spans="1:9" x14ac:dyDescent="0.25">
      <c r="A31" s="1"/>
      <c r="B31" s="99" t="s">
        <v>128</v>
      </c>
      <c r="C31" s="84"/>
      <c r="D31" s="84"/>
      <c r="E31" s="84"/>
      <c r="F31" s="84"/>
      <c r="G31" s="84"/>
      <c r="H31" s="85"/>
      <c r="I31" s="1"/>
    </row>
    <row r="32" spans="1:9" ht="30" customHeight="1" x14ac:dyDescent="0.25">
      <c r="A32" s="1"/>
      <c r="B32" s="70" t="s">
        <v>129</v>
      </c>
      <c r="C32" s="71"/>
      <c r="D32" s="72"/>
      <c r="E32" s="37">
        <v>31574831.239999998</v>
      </c>
      <c r="F32" s="10" t="s">
        <v>4</v>
      </c>
      <c r="G32" s="19"/>
      <c r="H32" s="25"/>
      <c r="I32" s="1"/>
    </row>
    <row r="33" spans="1:9" x14ac:dyDescent="0.25">
      <c r="A33" s="1"/>
      <c r="B33" s="73" t="s">
        <v>68</v>
      </c>
      <c r="C33" s="74"/>
      <c r="D33" s="75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69</v>
      </c>
      <c r="C34" s="71"/>
      <c r="D34" s="72"/>
      <c r="E34" s="37">
        <v>524164.41</v>
      </c>
      <c r="F34" s="10" t="s">
        <v>4</v>
      </c>
      <c r="G34" s="14"/>
      <c r="H34" s="27"/>
      <c r="I34" s="1"/>
    </row>
    <row r="35" spans="1:9" x14ac:dyDescent="0.25">
      <c r="A35" s="1"/>
      <c r="B35" s="80" t="s">
        <v>70</v>
      </c>
      <c r="C35" s="81"/>
      <c r="D35" s="82"/>
      <c r="E35" s="32">
        <f>SUM(E32:E34)</f>
        <v>32098995.649999999</v>
      </c>
      <c r="F35" s="16" t="s">
        <v>4</v>
      </c>
      <c r="G35" s="32">
        <f>-E35</f>
        <v>-32098995.649999999</v>
      </c>
      <c r="H35" s="16" t="s">
        <v>4</v>
      </c>
      <c r="I35" s="1"/>
    </row>
    <row r="36" spans="1:9" x14ac:dyDescent="0.25">
      <c r="A36" s="1"/>
      <c r="B36" s="83" t="s">
        <v>46</v>
      </c>
      <c r="C36" s="84"/>
      <c r="D36" s="84"/>
      <c r="E36" s="84"/>
      <c r="F36" s="85"/>
      <c r="G36" s="33">
        <f>$G$9+$G$28+$G$30+$G$35</f>
        <v>4280687.3500000015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130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ht="30" customHeight="1" x14ac:dyDescent="0.25">
      <c r="A9" s="1"/>
      <c r="B9" s="70" t="s">
        <v>31</v>
      </c>
      <c r="C9" s="71"/>
      <c r="D9" s="72"/>
      <c r="E9" s="34">
        <f>'Fane 3. Grundlag'!G12</f>
        <v>30726704.596065506</v>
      </c>
      <c r="F9" s="7" t="s">
        <v>4</v>
      </c>
      <c r="G9" s="8"/>
      <c r="H9" s="9"/>
      <c r="I9" s="1"/>
    </row>
    <row r="10" spans="1:9" x14ac:dyDescent="0.25">
      <c r="A10" s="1"/>
      <c r="B10" s="79" t="s">
        <v>97</v>
      </c>
      <c r="C10" s="74"/>
      <c r="D10" s="75"/>
      <c r="E10" s="20">
        <f>'Fane 3. Grundlag'!G11</f>
        <v>9560286.7652281318</v>
      </c>
      <c r="F10" s="7" t="s">
        <v>4</v>
      </c>
      <c r="G10" s="11"/>
      <c r="H10" s="12"/>
      <c r="I10" s="1"/>
    </row>
    <row r="11" spans="1:9" x14ac:dyDescent="0.25">
      <c r="A11" s="1"/>
      <c r="B11" s="73" t="s">
        <v>25</v>
      </c>
      <c r="C11" s="74"/>
      <c r="D11" s="75"/>
      <c r="E11" s="20">
        <f>'Fane 4. Individuelt eff.krav'!G11</f>
        <v>392359.35632253048</v>
      </c>
      <c r="F11" s="7" t="s">
        <v>4</v>
      </c>
      <c r="G11" s="13"/>
      <c r="H11" s="12"/>
      <c r="I11" s="1"/>
    </row>
    <row r="12" spans="1:9" x14ac:dyDescent="0.25">
      <c r="A12" s="1"/>
      <c r="B12" s="73" t="s">
        <v>26</v>
      </c>
      <c r="C12" s="74"/>
      <c r="D12" s="75"/>
      <c r="E12" s="20">
        <f>'Fane 5. Generelt eff.krav'!G15</f>
        <v>294850.13901180547</v>
      </c>
      <c r="F12" s="7" t="s">
        <v>4</v>
      </c>
      <c r="G12" s="14"/>
      <c r="H12" s="15"/>
      <c r="I12" s="1"/>
    </row>
    <row r="13" spans="1:9" x14ac:dyDescent="0.25">
      <c r="A13" s="1"/>
      <c r="B13" s="80" t="s">
        <v>43</v>
      </c>
      <c r="C13" s="81"/>
      <c r="D13" s="82"/>
      <c r="E13" s="32">
        <f>$E$9-$E$11-$E$12</f>
        <v>30039495.100731172</v>
      </c>
      <c r="F13" s="17" t="s">
        <v>4</v>
      </c>
      <c r="G13" s="32">
        <f>E13</f>
        <v>30039495.100731172</v>
      </c>
      <c r="H13" s="17" t="s">
        <v>4</v>
      </c>
      <c r="I13" s="1"/>
    </row>
    <row r="14" spans="1:9" x14ac:dyDescent="0.25">
      <c r="A14" s="1"/>
      <c r="B14" s="83" t="s">
        <v>32</v>
      </c>
      <c r="C14" s="84"/>
      <c r="D14" s="84"/>
      <c r="E14" s="84"/>
      <c r="F14" s="84"/>
      <c r="G14" s="84"/>
      <c r="H14" s="85"/>
      <c r="I14" s="1"/>
    </row>
    <row r="15" spans="1:9" x14ac:dyDescent="0.25">
      <c r="A15" s="1"/>
      <c r="B15" s="76" t="s">
        <v>108</v>
      </c>
      <c r="C15" s="77"/>
      <c r="D15" s="78"/>
      <c r="E15" s="32">
        <f>'Fane 6. Hist. over el. underdæk'!G13</f>
        <v>501317.25</v>
      </c>
      <c r="F15" s="17" t="s">
        <v>4</v>
      </c>
      <c r="G15" s="32">
        <f>E15</f>
        <v>501317.25</v>
      </c>
      <c r="H15" s="17" t="s">
        <v>4</v>
      </c>
      <c r="I15" s="1"/>
    </row>
    <row r="16" spans="1:9" x14ac:dyDescent="0.25">
      <c r="A16" s="1"/>
      <c r="B16" s="83" t="s">
        <v>28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70" t="s">
        <v>35</v>
      </c>
      <c r="C17" s="71"/>
      <c r="D17" s="72"/>
      <c r="E17" s="20">
        <f>'Fane 8. Korrektion af PL2015'!G11</f>
        <v>-500546.90000000037</v>
      </c>
      <c r="F17" s="7" t="s">
        <v>4</v>
      </c>
      <c r="G17" s="19"/>
      <c r="H17" s="9"/>
      <c r="I17" s="1"/>
    </row>
    <row r="18" spans="1:9" x14ac:dyDescent="0.25">
      <c r="A18" s="1"/>
      <c r="B18" s="70" t="s">
        <v>36</v>
      </c>
      <c r="C18" s="71"/>
      <c r="D18" s="72"/>
      <c r="E18" s="20">
        <f>'Fane 8. Korrektion af PL2015'!G17</f>
        <v>-3827151.92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0" t="s">
        <v>98</v>
      </c>
      <c r="C19" s="71"/>
      <c r="D19" s="72"/>
      <c r="E19" s="20">
        <f>'Fane 8. Korrektion af PL2015'!G23</f>
        <v>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0" t="s">
        <v>37</v>
      </c>
      <c r="C20" s="71"/>
      <c r="D20" s="72"/>
      <c r="E20" s="20">
        <f>'Fane 8. Korrektion af PL2015'!G30</f>
        <v>240682.09999999986</v>
      </c>
      <c r="F20" s="7" t="s">
        <v>4</v>
      </c>
      <c r="G20" s="14"/>
      <c r="H20" s="15"/>
      <c r="I20" s="1"/>
    </row>
    <row r="21" spans="1:9" x14ac:dyDescent="0.25">
      <c r="A21" s="1"/>
      <c r="B21" s="76" t="s">
        <v>38</v>
      </c>
      <c r="C21" s="77"/>
      <c r="D21" s="78"/>
      <c r="E21" s="32">
        <f>SUM(E17:E20)</f>
        <v>-4087016.7200000007</v>
      </c>
      <c r="F21" s="17" t="s">
        <v>4</v>
      </c>
      <c r="G21" s="32">
        <f>E21</f>
        <v>-4087016.7200000007</v>
      </c>
      <c r="H21" s="17" t="s">
        <v>4</v>
      </c>
      <c r="I21" s="1"/>
    </row>
    <row r="22" spans="1:9" x14ac:dyDescent="0.25">
      <c r="A22" s="1"/>
      <c r="B22" s="83" t="s">
        <v>33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76" t="s">
        <v>34</v>
      </c>
      <c r="C23" s="77"/>
      <c r="D23" s="78"/>
      <c r="E23" s="32">
        <f>'Fane 9. Kontrol af PL2015'!G36</f>
        <v>4280687.3500000015</v>
      </c>
      <c r="F23" s="17" t="s">
        <v>4</v>
      </c>
      <c r="G23" s="32">
        <f>E23</f>
        <v>4280687.3500000015</v>
      </c>
      <c r="H23" s="17" t="s">
        <v>4</v>
      </c>
      <c r="I23" s="1"/>
    </row>
    <row r="24" spans="1:9" x14ac:dyDescent="0.25">
      <c r="A24" s="1"/>
      <c r="B24" s="83" t="s">
        <v>39</v>
      </c>
      <c r="C24" s="84"/>
      <c r="D24" s="84"/>
      <c r="E24" s="84"/>
      <c r="F24" s="85"/>
      <c r="G24" s="33">
        <f>G13+G15+G21+G23</f>
        <v>30734482.980731174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0" t="s">
        <v>40</v>
      </c>
      <c r="C9" s="71"/>
      <c r="D9" s="72"/>
      <c r="E9" s="36">
        <f>'Fane 2.1. Økonomisk ramme 2017'!$E$9-'Fane 2.1. Økonomisk ramme 2017'!$E$11-'Fane 2.1. Økonomisk ramme 2017'!$E$12</f>
        <v>30039495.100731172</v>
      </c>
      <c r="F9" s="7" t="s">
        <v>4</v>
      </c>
      <c r="G9" s="8"/>
      <c r="H9" s="9"/>
      <c r="I9" s="1"/>
    </row>
    <row r="10" spans="1:9" x14ac:dyDescent="0.25">
      <c r="A10" s="1"/>
      <c r="B10" s="79" t="s">
        <v>110</v>
      </c>
      <c r="C10" s="86"/>
      <c r="D10" s="87"/>
      <c r="E10" s="37">
        <f>'Fane 3. Grundlag'!$G$9*(1-'Fane 4. Individuelt eff.krav'!$G$10/100)-'Fane 5. Generelt eff.krav'!G$11</f>
        <v>9017971.5953214634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111</v>
      </c>
      <c r="C11" s="86"/>
      <c r="D11" s="87"/>
      <c r="E11" s="37">
        <f>'Fane 3. Grundlag'!$G$10*(1-'Fane 4. Individuelt eff.krav'!$G$10/100)-'Fane 5. Generelt eff.krav'!G$14</f>
        <v>11461236.740181575</v>
      </c>
      <c r="F11" s="7" t="s">
        <v>4</v>
      </c>
      <c r="G11" s="11"/>
      <c r="H11" s="12"/>
      <c r="I11" s="1"/>
    </row>
    <row r="12" spans="1:9" x14ac:dyDescent="0.25">
      <c r="A12" s="1"/>
      <c r="B12" s="79" t="s">
        <v>97</v>
      </c>
      <c r="C12" s="86"/>
      <c r="D12" s="87"/>
      <c r="E12" s="37">
        <f>'Fane 2.1. Økonomisk ramme 2017'!$E$10</f>
        <v>9560286.7652281318</v>
      </c>
      <c r="F12" s="7" t="s">
        <v>4</v>
      </c>
      <c r="G12" s="11"/>
      <c r="H12" s="12"/>
      <c r="I12" s="1"/>
    </row>
    <row r="13" spans="1:9" x14ac:dyDescent="0.25">
      <c r="A13" s="1"/>
      <c r="B13" s="73" t="s">
        <v>41</v>
      </c>
      <c r="C13" s="74"/>
      <c r="D13" s="75"/>
      <c r="E13" s="37">
        <f>$E$9*0.0127</f>
        <v>381501.58777928585</v>
      </c>
      <c r="F13" s="7" t="s">
        <v>4</v>
      </c>
      <c r="G13" s="13"/>
      <c r="H13" s="12"/>
      <c r="I13" s="1"/>
    </row>
    <row r="14" spans="1:9" x14ac:dyDescent="0.25">
      <c r="A14" s="1"/>
      <c r="B14" s="73" t="s">
        <v>25</v>
      </c>
      <c r="C14" s="74"/>
      <c r="D14" s="75"/>
      <c r="E14" s="37">
        <f>('Fane 2.2. Økonomisk ramme 2018'!$E$9-'Fane 2.2. Økonomisk ramme 2018'!$E$12)*1.0127*'Fane 4. Individuelt eff.krav'!$G$10/100</f>
        <v>384441.81815991143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293806.84106952389</v>
      </c>
      <c r="F15" s="7" t="s">
        <v>4</v>
      </c>
      <c r="G15" s="14"/>
      <c r="H15" s="15"/>
      <c r="I15" s="1"/>
    </row>
    <row r="16" spans="1:9" x14ac:dyDescent="0.25">
      <c r="A16" s="1"/>
      <c r="B16" s="80" t="s">
        <v>43</v>
      </c>
      <c r="C16" s="81"/>
      <c r="D16" s="82"/>
      <c r="E16" s="32">
        <f>$E$9+$E$13-$E$14-$E$15</f>
        <v>29742748.029281024</v>
      </c>
      <c r="F16" s="17" t="s">
        <v>4</v>
      </c>
      <c r="G16" s="32">
        <f>E16</f>
        <v>29742748.029281024</v>
      </c>
      <c r="H16" s="17" t="s">
        <v>4</v>
      </c>
      <c r="I16" s="1"/>
    </row>
    <row r="17" spans="1:9" x14ac:dyDescent="0.25">
      <c r="A17" s="1"/>
      <c r="B17" s="83" t="s">
        <v>32</v>
      </c>
      <c r="C17" s="84"/>
      <c r="D17" s="84"/>
      <c r="E17" s="84"/>
      <c r="F17" s="84"/>
      <c r="G17" s="84"/>
      <c r="H17" s="85"/>
      <c r="I17" s="1"/>
    </row>
    <row r="18" spans="1:9" ht="15" customHeight="1" x14ac:dyDescent="0.25">
      <c r="A18" s="1"/>
      <c r="B18" s="76" t="s">
        <v>108</v>
      </c>
      <c r="C18" s="77"/>
      <c r="D18" s="78"/>
      <c r="E18" s="35">
        <f>IF('Fane 6. Hist. over el. underdæk'!$G$12&gt;1,'Fane 6. Hist. over el. underdæk'!$G$13,0)</f>
        <v>501317.25</v>
      </c>
      <c r="F18" s="17" t="s">
        <v>4</v>
      </c>
      <c r="G18" s="32">
        <f>E18</f>
        <v>501317.25</v>
      </c>
      <c r="H18" s="17" t="s">
        <v>4</v>
      </c>
      <c r="I18" s="1"/>
    </row>
    <row r="19" spans="1:9" x14ac:dyDescent="0.25">
      <c r="A19" s="1"/>
      <c r="B19" s="83" t="s">
        <v>42</v>
      </c>
      <c r="C19" s="84"/>
      <c r="D19" s="84"/>
      <c r="E19" s="84"/>
      <c r="F19" s="85"/>
      <c r="G19" s="33">
        <f>G16+G18</f>
        <v>30244065.279281024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9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44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99</v>
      </c>
      <c r="C9" s="74"/>
      <c r="D9" s="74"/>
      <c r="E9" s="74"/>
      <c r="F9" s="75"/>
      <c r="G9" s="37">
        <v>9379425.3900170065</v>
      </c>
      <c r="H9" s="10" t="s">
        <v>4</v>
      </c>
      <c r="I9" s="1"/>
    </row>
    <row r="10" spans="1:9" x14ac:dyDescent="0.25">
      <c r="A10" s="1"/>
      <c r="B10" s="73" t="s">
        <v>100</v>
      </c>
      <c r="C10" s="74"/>
      <c r="D10" s="74"/>
      <c r="E10" s="74"/>
      <c r="F10" s="75"/>
      <c r="G10" s="37">
        <v>11786992.440820368</v>
      </c>
      <c r="H10" s="10" t="s">
        <v>4</v>
      </c>
      <c r="I10" s="1"/>
    </row>
    <row r="11" spans="1:9" x14ac:dyDescent="0.25">
      <c r="A11" s="1"/>
      <c r="B11" s="73" t="s">
        <v>101</v>
      </c>
      <c r="C11" s="74"/>
      <c r="D11" s="74"/>
      <c r="E11" s="74"/>
      <c r="F11" s="75"/>
      <c r="G11" s="37">
        <v>9560286.7652281318</v>
      </c>
      <c r="H11" s="10" t="s">
        <v>4</v>
      </c>
      <c r="I11" s="1"/>
    </row>
    <row r="12" spans="1:9" x14ac:dyDescent="0.25">
      <c r="A12" s="1"/>
      <c r="B12" s="83" t="s">
        <v>44</v>
      </c>
      <c r="C12" s="84"/>
      <c r="D12" s="84"/>
      <c r="E12" s="84"/>
      <c r="F12" s="85"/>
      <c r="G12" s="33">
        <f>SUM(G9:G11)</f>
        <v>30726704.596065506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27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103</v>
      </c>
      <c r="C9" s="74"/>
      <c r="D9" s="74"/>
      <c r="E9" s="74"/>
      <c r="F9" s="75"/>
      <c r="G9" s="20">
        <f>'Fane 3. Grundlag'!G12-'Fane 3. Grundlag'!G11</f>
        <v>21166417.830837376</v>
      </c>
      <c r="H9" s="10" t="s">
        <v>4</v>
      </c>
      <c r="I9" s="1"/>
    </row>
    <row r="10" spans="1:9" x14ac:dyDescent="0.25">
      <c r="A10" s="1"/>
      <c r="B10" s="73" t="s">
        <v>71</v>
      </c>
      <c r="C10" s="74"/>
      <c r="D10" s="74"/>
      <c r="E10" s="74"/>
      <c r="F10" s="75"/>
      <c r="G10" s="44">
        <v>1.8536880423427233</v>
      </c>
      <c r="H10" s="10" t="s">
        <v>72</v>
      </c>
      <c r="I10" s="1"/>
    </row>
    <row r="11" spans="1:9" x14ac:dyDescent="0.25">
      <c r="A11" s="1"/>
      <c r="B11" s="83" t="s">
        <v>25</v>
      </c>
      <c r="C11" s="84"/>
      <c r="D11" s="84"/>
      <c r="E11" s="84"/>
      <c r="F11" s="85"/>
      <c r="G11" s="33">
        <f>$G$9*$G$10/100</f>
        <v>392359.35632253048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8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9379425.3900170065</v>
      </c>
      <c r="H9" s="10" t="s">
        <v>4</v>
      </c>
      <c r="I9" s="1"/>
    </row>
    <row r="10" spans="1:9" x14ac:dyDescent="0.25">
      <c r="A10" s="1"/>
      <c r="B10" s="73" t="s">
        <v>26</v>
      </c>
      <c r="C10" s="74"/>
      <c r="D10" s="74"/>
      <c r="E10" s="74"/>
      <c r="F10" s="75"/>
      <c r="G10" s="42">
        <f>2</f>
        <v>2</v>
      </c>
      <c r="H10" s="10" t="s">
        <v>72</v>
      </c>
      <c r="I10" s="1"/>
    </row>
    <row r="11" spans="1:9" x14ac:dyDescent="0.25">
      <c r="A11" s="1"/>
      <c r="B11" s="80" t="s">
        <v>73</v>
      </c>
      <c r="C11" s="81"/>
      <c r="D11" s="81"/>
      <c r="E11" s="81"/>
      <c r="F11" s="82"/>
      <c r="G11" s="32">
        <f>$G$9*$G$10/100</f>
        <v>187588.50780034013</v>
      </c>
      <c r="H11" s="16" t="s">
        <v>4</v>
      </c>
      <c r="I11" s="1"/>
    </row>
    <row r="12" spans="1:9" x14ac:dyDescent="0.25">
      <c r="A12" s="1"/>
      <c r="B12" s="73" t="s">
        <v>100</v>
      </c>
      <c r="C12" s="74"/>
      <c r="D12" s="74"/>
      <c r="E12" s="74"/>
      <c r="F12" s="75"/>
      <c r="G12" s="20">
        <f>'Fane 3. Grundlag'!G10</f>
        <v>11786992.440820368</v>
      </c>
      <c r="H12" s="10" t="s">
        <v>4</v>
      </c>
      <c r="I12" s="1"/>
    </row>
    <row r="13" spans="1:9" x14ac:dyDescent="0.25">
      <c r="A13" s="1"/>
      <c r="B13" s="73" t="s">
        <v>26</v>
      </c>
      <c r="C13" s="74"/>
      <c r="D13" s="74"/>
      <c r="E13" s="74"/>
      <c r="F13" s="75"/>
      <c r="G13" s="43">
        <f>0.91</f>
        <v>0.91</v>
      </c>
      <c r="H13" s="10" t="s">
        <v>72</v>
      </c>
      <c r="I13" s="1"/>
    </row>
    <row r="14" spans="1:9" x14ac:dyDescent="0.25">
      <c r="A14" s="1"/>
      <c r="B14" s="80" t="s">
        <v>74</v>
      </c>
      <c r="C14" s="81"/>
      <c r="D14" s="81"/>
      <c r="E14" s="81"/>
      <c r="F14" s="82"/>
      <c r="G14" s="32">
        <f>$G$12*$G$13/100</f>
        <v>107261.63121146536</v>
      </c>
      <c r="H14" s="16" t="s">
        <v>4</v>
      </c>
      <c r="I14" s="1"/>
    </row>
    <row r="15" spans="1:9" x14ac:dyDescent="0.25">
      <c r="A15" s="1"/>
      <c r="B15" s="83" t="s">
        <v>104</v>
      </c>
      <c r="C15" s="84"/>
      <c r="D15" s="84"/>
      <c r="E15" s="84"/>
      <c r="F15" s="85"/>
      <c r="G15" s="33">
        <f>G11+G14</f>
        <v>294850.13901180547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106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107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76</v>
      </c>
      <c r="C9" s="74"/>
      <c r="D9" s="74"/>
      <c r="E9" s="74"/>
      <c r="F9" s="75"/>
      <c r="G9" s="37">
        <v>5833479</v>
      </c>
      <c r="H9" s="10" t="s">
        <v>4</v>
      </c>
      <c r="I9" s="1"/>
    </row>
    <row r="10" spans="1:9" x14ac:dyDescent="0.25">
      <c r="A10" s="1"/>
      <c r="B10" s="73" t="s">
        <v>77</v>
      </c>
      <c r="C10" s="74"/>
      <c r="D10" s="74"/>
      <c r="E10" s="74"/>
      <c r="F10" s="75"/>
      <c r="G10" s="37">
        <v>3828210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2005269</v>
      </c>
      <c r="H11" s="23" t="s">
        <v>4</v>
      </c>
      <c r="I11" s="1"/>
    </row>
    <row r="12" spans="1:9" x14ac:dyDescent="0.25">
      <c r="A12" s="1"/>
      <c r="B12" s="73" t="s">
        <v>78</v>
      </c>
      <c r="C12" s="74"/>
      <c r="D12" s="74"/>
      <c r="E12" s="74"/>
      <c r="F12" s="75"/>
      <c r="G12" s="37">
        <v>4</v>
      </c>
      <c r="H12" s="10" t="s">
        <v>4</v>
      </c>
      <c r="I12" s="1"/>
    </row>
    <row r="13" spans="1:9" x14ac:dyDescent="0.25">
      <c r="A13" s="1"/>
      <c r="B13" s="83" t="s">
        <v>75</v>
      </c>
      <c r="C13" s="84"/>
      <c r="D13" s="84"/>
      <c r="E13" s="84"/>
      <c r="F13" s="85"/>
      <c r="G13" s="33">
        <f>G11/G12</f>
        <v>501317.25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9" t="s">
        <v>30</v>
      </c>
      <c r="C3" s="69"/>
      <c r="D3" s="69"/>
      <c r="E3" s="69"/>
      <c r="F3" s="69"/>
      <c r="G3" s="69"/>
      <c r="H3" s="1"/>
    </row>
    <row r="4" spans="1:8" ht="15" customHeight="1" x14ac:dyDescent="0.25">
      <c r="A4" s="1"/>
      <c r="B4" s="69"/>
      <c r="C4" s="69"/>
      <c r="D4" s="69"/>
      <c r="E4" s="69"/>
      <c r="F4" s="69"/>
      <c r="G4" s="6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3" t="s">
        <v>5</v>
      </c>
      <c r="C8" s="84"/>
      <c r="D8" s="84"/>
      <c r="E8" s="84"/>
      <c r="F8" s="84"/>
      <c r="G8" s="8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30</v>
      </c>
      <c r="E10" s="37">
        <v>358799</v>
      </c>
      <c r="F10" s="20">
        <f>E10/D10</f>
        <v>11959.966666666667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25</v>
      </c>
      <c r="E11" s="37">
        <v>630000</v>
      </c>
      <c r="F11" s="20">
        <f t="shared" ref="F11:F23" si="0">E11/D11</f>
        <v>25200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50</v>
      </c>
      <c r="E12" s="37">
        <v>1175062</v>
      </c>
      <c r="F12" s="20">
        <f t="shared" si="0"/>
        <v>23501.24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50</v>
      </c>
      <c r="E13" s="37">
        <v>3527716</v>
      </c>
      <c r="F13" s="20">
        <f t="shared" si="0"/>
        <v>70554.320000000007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10</v>
      </c>
      <c r="E14" s="37">
        <v>530630</v>
      </c>
      <c r="F14" s="20">
        <f t="shared" si="0"/>
        <v>53063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17547010</v>
      </c>
      <c r="F15" s="20">
        <f t="shared" si="0"/>
        <v>233960.13333333333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1046247</v>
      </c>
      <c r="F16" s="20">
        <f t="shared" si="0"/>
        <v>13949.96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75</v>
      </c>
      <c r="E17" s="37">
        <v>867312</v>
      </c>
      <c r="F17" s="20">
        <f t="shared" si="0"/>
        <v>11564.16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50</v>
      </c>
      <c r="E18" s="37">
        <v>50000</v>
      </c>
      <c r="F18" s="20">
        <f t="shared" si="0"/>
        <v>1000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75</v>
      </c>
      <c r="E19" s="37">
        <v>256509</v>
      </c>
      <c r="F19" s="20">
        <f t="shared" si="0"/>
        <v>3420.12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10</v>
      </c>
      <c r="E20" s="37">
        <v>5000</v>
      </c>
      <c r="F20" s="20">
        <f t="shared" si="0"/>
        <v>500</v>
      </c>
      <c r="G20" s="10" t="s">
        <v>4</v>
      </c>
      <c r="H20" s="1"/>
    </row>
    <row r="21" spans="1:8" x14ac:dyDescent="0.25">
      <c r="A21" s="1"/>
      <c r="B21" s="41" t="s">
        <v>124</v>
      </c>
      <c r="C21" s="39">
        <v>2015</v>
      </c>
      <c r="D21" s="39">
        <v>50</v>
      </c>
      <c r="E21" s="37">
        <v>95565</v>
      </c>
      <c r="F21" s="20">
        <f t="shared" si="0"/>
        <v>1911.3</v>
      </c>
      <c r="G21" s="10" t="s">
        <v>4</v>
      </c>
      <c r="H21" s="1"/>
    </row>
    <row r="22" spans="1:8" x14ac:dyDescent="0.25">
      <c r="A22" s="1"/>
      <c r="B22" s="41" t="s">
        <v>125</v>
      </c>
      <c r="C22" s="39">
        <v>2015</v>
      </c>
      <c r="D22" s="39">
        <v>8</v>
      </c>
      <c r="E22" s="37">
        <v>1169470</v>
      </c>
      <c r="F22" s="20">
        <f t="shared" si="0"/>
        <v>146183.75</v>
      </c>
      <c r="G22" s="10" t="s">
        <v>4</v>
      </c>
      <c r="H22" s="1"/>
    </row>
    <row r="23" spans="1:8" x14ac:dyDescent="0.25">
      <c r="A23" s="1"/>
      <c r="B23" s="41" t="s">
        <v>126</v>
      </c>
      <c r="C23" s="39">
        <v>2015</v>
      </c>
      <c r="D23" s="39">
        <v>5</v>
      </c>
      <c r="E23" s="37">
        <v>507283</v>
      </c>
      <c r="F23" s="20">
        <f t="shared" si="0"/>
        <v>101456.6</v>
      </c>
      <c r="G23" s="10" t="s">
        <v>4</v>
      </c>
      <c r="H23" s="1"/>
    </row>
    <row r="24" spans="1:8" x14ac:dyDescent="0.25">
      <c r="A24" s="1"/>
      <c r="B24" s="83" t="s">
        <v>127</v>
      </c>
      <c r="C24" s="84"/>
      <c r="D24" s="84"/>
      <c r="E24" s="85"/>
      <c r="F24" s="33">
        <f>SUM(F10:F23)</f>
        <v>698224.54999999993</v>
      </c>
      <c r="G24" s="18" t="s">
        <v>4</v>
      </c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</sheetData>
  <sheetProtection password="C6BD" sheet="1" objects="1" scenarios="1"/>
  <mergeCells count="4">
    <mergeCell ref="B24:E2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3" t="s">
        <v>80</v>
      </c>
      <c r="C9" s="74"/>
      <c r="D9" s="74"/>
      <c r="E9" s="74"/>
      <c r="F9" s="75"/>
      <c r="G9" s="37">
        <v>9591024.0999999996</v>
      </c>
      <c r="H9" s="10" t="s">
        <v>4</v>
      </c>
      <c r="I9" s="1"/>
    </row>
    <row r="10" spans="1:9" x14ac:dyDescent="0.25">
      <c r="A10" s="1"/>
      <c r="B10" s="73" t="s">
        <v>81</v>
      </c>
      <c r="C10" s="74"/>
      <c r="D10" s="74"/>
      <c r="E10" s="74"/>
      <c r="F10" s="75"/>
      <c r="G10" s="37">
        <v>10091571</v>
      </c>
      <c r="H10" s="10" t="s">
        <v>4</v>
      </c>
      <c r="I10" s="1"/>
    </row>
    <row r="11" spans="1:9" x14ac:dyDescent="0.25">
      <c r="A11" s="1"/>
      <c r="B11" s="83" t="s">
        <v>82</v>
      </c>
      <c r="C11" s="84"/>
      <c r="D11" s="84"/>
      <c r="E11" s="84"/>
      <c r="F11" s="85"/>
      <c r="G11" s="33">
        <f>G9-G10</f>
        <v>-500546.90000000037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3" t="s">
        <v>84</v>
      </c>
      <c r="C15" s="74"/>
      <c r="D15" s="74"/>
      <c r="E15" s="74"/>
      <c r="F15" s="75"/>
      <c r="G15" s="37">
        <v>147848.07999999999</v>
      </c>
      <c r="H15" s="10" t="s">
        <v>4</v>
      </c>
      <c r="I15" s="1"/>
    </row>
    <row r="16" spans="1:9" x14ac:dyDescent="0.25">
      <c r="A16" s="1"/>
      <c r="B16" s="73" t="s">
        <v>85</v>
      </c>
      <c r="C16" s="74"/>
      <c r="D16" s="74"/>
      <c r="E16" s="74"/>
      <c r="F16" s="75"/>
      <c r="G16" s="37">
        <v>3975000</v>
      </c>
      <c r="H16" s="10" t="s">
        <v>4</v>
      </c>
      <c r="I16" s="1"/>
    </row>
    <row r="17" spans="1:9" x14ac:dyDescent="0.25">
      <c r="A17" s="1"/>
      <c r="B17" s="83" t="s">
        <v>86</v>
      </c>
      <c r="C17" s="84"/>
      <c r="D17" s="84"/>
      <c r="E17" s="84"/>
      <c r="F17" s="85"/>
      <c r="G17" s="33">
        <f>G15-G16</f>
        <v>-3827151.92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3" t="s">
        <v>94</v>
      </c>
      <c r="C21" s="74"/>
      <c r="D21" s="74"/>
      <c r="E21" s="74"/>
      <c r="F21" s="75"/>
      <c r="G21" s="37">
        <v>0</v>
      </c>
      <c r="H21" s="10" t="s">
        <v>4</v>
      </c>
      <c r="I21" s="1"/>
    </row>
    <row r="22" spans="1:9" x14ac:dyDescent="0.25">
      <c r="A22" s="1"/>
      <c r="B22" s="73" t="s">
        <v>96</v>
      </c>
      <c r="C22" s="74"/>
      <c r="D22" s="74"/>
      <c r="E22" s="74"/>
      <c r="F22" s="75"/>
      <c r="G22" s="37">
        <v>0</v>
      </c>
      <c r="H22" s="10" t="s">
        <v>4</v>
      </c>
      <c r="I22" s="1"/>
    </row>
    <row r="23" spans="1:9" x14ac:dyDescent="0.25">
      <c r="A23" s="1"/>
      <c r="B23" s="83" t="s">
        <v>95</v>
      </c>
      <c r="C23" s="84"/>
      <c r="D23" s="84"/>
      <c r="E23" s="84"/>
      <c r="F23" s="85"/>
      <c r="G23" s="33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3" t="s">
        <v>88</v>
      </c>
      <c r="C27" s="74"/>
      <c r="D27" s="74"/>
      <c r="E27" s="74"/>
      <c r="F27" s="75"/>
      <c r="G27" s="37">
        <v>398617</v>
      </c>
      <c r="H27" s="10" t="s">
        <v>4</v>
      </c>
      <c r="I27" s="1"/>
    </row>
    <row r="28" spans="1:9" x14ac:dyDescent="0.25">
      <c r="A28" s="1"/>
      <c r="B28" s="73" t="s">
        <v>89</v>
      </c>
      <c r="C28" s="74"/>
      <c r="D28" s="74"/>
      <c r="E28" s="74"/>
      <c r="F28" s="75"/>
      <c r="G28" s="37">
        <v>757150</v>
      </c>
      <c r="H28" s="10" t="s">
        <v>4</v>
      </c>
      <c r="I28" s="1"/>
    </row>
    <row r="29" spans="1:9" x14ac:dyDescent="0.25">
      <c r="A29" s="1"/>
      <c r="B29" s="73" t="s">
        <v>90</v>
      </c>
      <c r="C29" s="74"/>
      <c r="D29" s="74"/>
      <c r="E29" s="74"/>
      <c r="F29" s="75"/>
      <c r="G29" s="20">
        <f>'Fane 7. Gen. inv. i 2015'!F24</f>
        <v>698224.54999999993</v>
      </c>
      <c r="H29" s="10" t="s">
        <v>4</v>
      </c>
      <c r="I29" s="1"/>
    </row>
    <row r="30" spans="1:9" x14ac:dyDescent="0.25">
      <c r="A30" s="1"/>
      <c r="B30" s="83" t="s">
        <v>87</v>
      </c>
      <c r="C30" s="84"/>
      <c r="D30" s="84"/>
      <c r="E30" s="84"/>
      <c r="F30" s="85"/>
      <c r="G30" s="33">
        <f>G29-G27+G29-G28</f>
        <v>240682.09999999986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2016-12-13T11:29:48Z</dcterms:modified>
</cp:coreProperties>
</file>