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285" windowWidth="15600" windowHeight="7410" tabRatio="904"/>
  </bookViews>
  <sheets>
    <sheet name="Grundlag" sheetId="12" r:id="rId1"/>
    <sheet name="Faktiske driftsomkostninger" sheetId="15" r:id="rId2"/>
    <sheet name="Revisorerklæringer mm." sheetId="17" r:id="rId3"/>
    <sheet name="Investeringer" sheetId="20" r:id="rId4"/>
    <sheet name="Finansielle omkostninger" sheetId="24" r:id="rId5"/>
    <sheet name="Ikke-påvirkelige omkostninger" sheetId="18" r:id="rId6"/>
    <sheet name="Pristalsregulering" sheetId="27" r:id="rId7"/>
  </sheets>
  <calcPr calcId="145621"/>
</workbook>
</file>

<file path=xl/calcChain.xml><?xml version="1.0" encoding="utf-8"?>
<calcChain xmlns="http://schemas.openxmlformats.org/spreadsheetml/2006/main">
  <c r="H2" i="15" l="1"/>
  <c r="B6" i="12" l="1"/>
  <c r="G3" i="20"/>
  <c r="B7" i="12" s="1"/>
  <c r="E3" i="20"/>
  <c r="B5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M2" i="18" l="1"/>
  <c r="C8" i="27" l="1"/>
  <c r="C9" i="27"/>
  <c r="E2" i="15" l="1"/>
  <c r="F3" i="17" l="1"/>
  <c r="G3" i="17"/>
  <c r="G3" i="24" l="1"/>
  <c r="K3" i="24" s="1"/>
  <c r="H3" i="24"/>
  <c r="I3" i="24"/>
  <c r="F3" i="24"/>
  <c r="B10" i="12"/>
  <c r="B11" i="12" s="1"/>
  <c r="E3" i="17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J3" i="24"/>
  <c r="M3" i="24" s="1"/>
  <c r="B8" i="12" l="1"/>
  <c r="B9" i="12" s="1"/>
  <c r="H3" i="17"/>
  <c r="B3" i="12" s="1"/>
  <c r="I2" i="15"/>
  <c r="K2" i="15" l="1"/>
  <c r="B2" i="12" s="1"/>
  <c r="B4" i="12" l="1"/>
  <c r="B13" i="12" s="1"/>
  <c r="B15" i="12" s="1"/>
</calcChain>
</file>

<file path=xl/sharedStrings.xml><?xml version="1.0" encoding="utf-8"?>
<sst xmlns="http://schemas.openxmlformats.org/spreadsheetml/2006/main" count="99" uniqueCount="68">
  <si>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</si>
  <si>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</si>
  <si>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</si>
  <si>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</si>
  <si>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</si>
  <si>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</si>
  <si>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</si>
  <si>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</si>
  <si>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</si>
  <si>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</si>
  <si>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</si>
  <si>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</si>
  <si>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</si>
  <si>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</si>
  <si>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</si>
  <si>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</si>
  <si>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</si>
  <si>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</si>
  <si>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</si>
  <si>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</si>
  <si>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</si>
  <si>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</si>
  <si>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</si>
  <si>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</si>
  <si>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</si>
  <si>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</si>
  <si>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</si>
  <si>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</si>
  <si>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</si>
  <si>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</si>
  <si>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</si>
  <si>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</si>
  <si>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</si>
  <si>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</si>
  <si>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</si>
  <si>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</si>
  <si>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</si>
  <si>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</si>
  <si>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</si>
  <si>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</si>
  <si>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</si>
  <si>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</si>
  <si>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</si>
  <si>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</si>
  <si>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</si>
  <si>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</si>
  <si>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</si>
  <si>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</si>
  <si>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</si>
  <si>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</si>
  <si>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</si>
  <si>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</si>
  <si>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</si>
  <si>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</si>
  <si>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</si>
  <si>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</si>
  <si>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</si>
  <si>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</si>
  <si>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</si>
  <si>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</si>
  <si>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</si>
  <si>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</si>
  <si>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Planlagte investeringer (2015-niveau)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</si>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</sst>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_(&quot;kr.&quot;* #,##0.00_);_(&quot;kr.&quot;* \(#,##0.00\);_(&quot;kr.&quot;* &quot;-&quot;??_);_(@_)"/>
    <numFmt numFmtId="165" formatCode="_(* #,##0.00_);_(* \(#,##0.00\);_(* &quot;-&quot;??_);_(@_)"/>
    <numFmt numFmtId="166" formatCode="_ * #,##0_ ;_ * \-#,##0_ ;_ * &quot;-&quot;??_ ;_ @_ "/>
    <numFmt numFmtId="167" formatCode="\(#,##0\);#,##0_)"/>
    <numFmt numFmtId="168" formatCode="#,##0,_);\(#,##0,\)"/>
    <numFmt numFmtId="169" formatCode="\(#,##0,\);#,##0,_)"/>
    <numFmt numFmtId="170" formatCode="_-* #,##0.00_-;\-* #,##0.00_-;_-* &quot;-&quot;??_-;_-@_-"/>
    <numFmt numFmtId="171" formatCode="\(#,##0.00\);#,##0.00_)"/>
    <numFmt numFmtId="172" formatCode="#,##0_);\(#,##0\);0_);@"/>
    <numFmt numFmtId="173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70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2" fontId="32" fillId="0" borderId="0"/>
    <xf numFmtId="172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7" fontId="24" fillId="0" borderId="21" applyFill="0" applyAlignment="0" applyProtection="0"/>
    <xf numFmtId="168" fontId="24" fillId="0" borderId="21" applyFill="0" applyAlignment="0" applyProtection="0"/>
    <xf numFmtId="169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164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165" fontId="23" fillId="0" borderId="0" applyFont="0" applyFill="0" applyBorder="0" applyAlignment="0" applyProtection="0"/>
    <xf numFmtId="0" fontId="32" fillId="54" borderId="19" applyNumberFormat="0" applyFont="0" applyAlignment="0" applyProtection="0"/>
    <xf numFmtId="165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165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165" fontId="6" fillId="0" borderId="0" applyFont="0" applyFill="0" applyBorder="0" applyAlignment="0" applyProtection="0"/>
  </cellStyleXfs>
  <cellXfs count="71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6" fontId="0" fillId="0" borderId="0" xfId="27368" applyNumberFormat="1" applyFont="1"/>
    <xf numFmtId="166" fontId="0" fillId="0" borderId="0" xfId="27368" applyNumberFormat="1" applyFont="1" applyAlignment="1"/>
    <xf numFmtId="166" fontId="3" fillId="0" borderId="1" xfId="27368" applyNumberFormat="1" applyFont="1" applyBorder="1"/>
    <xf numFmtId="166" fontId="0" fillId="0" borderId="0" xfId="27368" applyNumberFormat="1" applyFont="1" applyBorder="1"/>
    <xf numFmtId="166" fontId="0" fillId="0" borderId="23" xfId="27368" applyNumberFormat="1" applyFont="1" applyBorder="1"/>
    <xf numFmtId="166" fontId="0" fillId="0" borderId="28" xfId="27368" applyNumberFormat="1" applyFont="1" applyFill="1" applyBorder="1"/>
    <xf numFmtId="166" fontId="0" fillId="0" borderId="0" xfId="27368" applyNumberFormat="1" applyFont="1" applyFill="1" applyBorder="1"/>
    <xf numFmtId="166" fontId="0" fillId="0" borderId="23" xfId="27368" applyNumberFormat="1" applyFont="1" applyFill="1" applyBorder="1"/>
    <xf numFmtId="166" fontId="3" fillId="0" borderId="0" xfId="27368" applyNumberFormat="1" applyFont="1" applyFill="1" applyBorder="1"/>
    <xf numFmtId="166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6" fontId="3" fillId="0" borderId="2" xfId="27368" applyNumberFormat="1" applyFont="1" applyBorder="1"/>
    <xf numFmtId="166" fontId="5" fillId="0" borderId="0" xfId="27368" applyNumberFormat="1" applyFont="1"/>
    <xf numFmtId="166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0" fillId="0" borderId="25" xfId="0" applyFont="1" applyBorder="1" applyAlignment="1">
      <alignment wrapText="1"/>
    </xf>
    <xf numFmtId="166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165" fontId="0" fillId="0" borderId="0" xfId="27368" applyFont="1"/>
    <xf numFmtId="0" fontId="3" fillId="0" borderId="2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6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6" fontId="0" fillId="0" borderId="0" xfId="0" applyNumberFormat="1"/>
    <xf numFmtId="166" fontId="3" fillId="0" borderId="26" xfId="0" applyNumberFormat="1" applyFont="1" applyFill="1" applyBorder="1" applyAlignment="1">
      <alignment horizontal="left"/>
    </xf>
    <xf numFmtId="166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3" customFormat="1" ht="15.75" thickBot="1" x14ac:dyDescent="0.3">
      <c r="A1" s="17" t="s">
        <v>6</v>
      </c>
      <c r="B1" s="17" t="s">
        <v>7</v>
      </c>
    </row>
    <row r="2" spans="1:3" x14ac:dyDescent="0.25">
      <c r="A2" s="4" t="s">
        <v>5</v>
      </c>
      <c r="B2" s="32">
        <f>'Faktiske driftsomkostninger'!K2</f>
        <v>1444449.4881346666</v>
      </c>
      <c r="C2" t="s">
        <v>10</v>
      </c>
    </row>
    <row r="3" spans="1:3" s="2" customFormat="1" x14ac:dyDescent="0.25">
      <c r="A3" s="5" t="s">
        <v>8</v>
      </c>
      <c r="B3" s="33">
        <f>'Revisorerklæringer mm.'!H3</f>
        <v>26277.123602666667</v>
      </c>
      <c r="C3" t="s">
        <v>10</v>
      </c>
    </row>
    <row r="4" spans="1:3" s="25" customFormat="1" x14ac:dyDescent="0.25">
      <c r="A4" s="3" t="s">
        <v>11</v>
      </c>
      <c r="B4" s="44">
        <f>SUM(B2:B3)</f>
        <v>1470726.6117373332</v>
      </c>
      <c r="C4" s="53" t="s">
        <v>10</v>
      </c>
    </row>
    <row r="5" spans="1:3" x14ac:dyDescent="0.25">
      <c r="A5" s="43" t="s">
        <v>0</v>
      </c>
      <c r="B5" s="35">
        <f>Investeringer!E3</f>
        <v>1529344.039450719</v>
      </c>
      <c r="C5" s="22" t="s">
        <v>10</v>
      </c>
    </row>
    <row r="6" spans="1:3" x14ac:dyDescent="0.25">
      <c r="A6" s="4" t="s">
        <v>1</v>
      </c>
      <c r="B6" s="32">
        <f>Investeringer!F3</f>
        <v>324738</v>
      </c>
      <c r="C6" t="s">
        <v>10</v>
      </c>
    </row>
    <row r="7" spans="1:3" x14ac:dyDescent="0.25">
      <c r="A7" s="4" t="s">
        <v>2</v>
      </c>
      <c r="B7" s="32">
        <f>Investeringer!G3</f>
        <v>11000</v>
      </c>
      <c r="C7" t="s">
        <v>10</v>
      </c>
    </row>
    <row r="8" spans="1:3" s="21" customFormat="1" x14ac:dyDescent="0.25">
      <c r="A8" s="4" t="s">
        <v>4</v>
      </c>
      <c r="B8" s="32">
        <f>'Finansielle omkostninger'!M3</f>
        <v>0</v>
      </c>
      <c r="C8" t="s">
        <v>10</v>
      </c>
    </row>
    <row r="9" spans="1:3" s="21" customFormat="1" x14ac:dyDescent="0.25">
      <c r="A9" s="3" t="s">
        <v>44</v>
      </c>
      <c r="B9" s="44">
        <f>SUM(B5:B8)</f>
        <v>1865082.039450719</v>
      </c>
      <c r="C9" s="53" t="s">
        <v>10</v>
      </c>
    </row>
    <row r="10" spans="1:3" s="21" customFormat="1" x14ac:dyDescent="0.25">
      <c r="A10" s="4" t="s">
        <v>9</v>
      </c>
      <c r="B10" s="32">
        <f>'Ikke-påvirkelige omkostninger'!M2</f>
        <v>2008175.57</v>
      </c>
      <c r="C10" t="s">
        <v>10</v>
      </c>
    </row>
    <row r="11" spans="1:3" s="21" customFormat="1" x14ac:dyDescent="0.25">
      <c r="A11" s="3" t="s">
        <v>65</v>
      </c>
      <c r="B11" s="44">
        <f>SUM(B10:B10)</f>
        <v>2008175.57</v>
      </c>
      <c r="C11" s="53" t="s">
        <v>10</v>
      </c>
    </row>
    <row r="12" spans="1:3" x14ac:dyDescent="0.25">
      <c r="A12" s="1"/>
      <c r="B12" s="32"/>
    </row>
    <row r="13" spans="1:3" ht="15.75" thickBot="1" x14ac:dyDescent="0.3">
      <c r="A13" s="26" t="s">
        <v>54</v>
      </c>
      <c r="B13" s="34">
        <f>SUM(B4,B9,B11)</f>
        <v>5343984.2211880526</v>
      </c>
      <c r="C13" s="26" t="s">
        <v>3</v>
      </c>
    </row>
    <row r="14" spans="1:3" ht="15.75" thickTop="1" x14ac:dyDescent="0.25"/>
    <row r="15" spans="1:3" ht="15.75" thickBot="1" x14ac:dyDescent="0.3">
      <c r="A15" s="26" t="s">
        <v>48</v>
      </c>
      <c r="B15" s="34">
        <f>B13*Pristalsregulering!C8*Pristalsregulering!C9</f>
        <v>5391287.7800781112</v>
      </c>
      <c r="C15" s="26" t="s">
        <v>3</v>
      </c>
    </row>
    <row r="16" spans="1:3" ht="15.75" hidden="1" thickTop="1" x14ac:dyDescent="0.25">
      <c r="B16" s="52"/>
    </row>
    <row r="17" hidden="1" x14ac:dyDescent="0.25"/>
    <row r="18" hidden="1" x14ac:dyDescent="0.25"/>
    <row r="19" hidden="1" x14ac:dyDescent="0.25"/>
    <row r="20" hidden="1" x14ac:dyDescent="0.25"/>
    <row r="21" hidden="1" x14ac:dyDescent="0.25"/>
    <row r="22" hidden="1" x14ac:dyDescent="0.25"/>
    <row r="23" hidden="1" x14ac:dyDescent="0.25"/>
    <row r="24" hidden="1" x14ac:dyDescent="0.25"/>
    <row r="25" hidden="1" x14ac:dyDescent="0.25"/>
    <row r="26" hidden="1" x14ac:dyDescent="0.25"/>
    <row r="27" hidden="1" x14ac:dyDescent="0.25"/>
    <row r="28" hidden="1" x14ac:dyDescent="0.25"/>
    <row r="29" hidden="1" x14ac:dyDescent="0.25"/>
    <row r="30" hidden="1" x14ac:dyDescent="0.25"/>
    <row r="31" hidden="1" x14ac:dyDescent="0.25"/>
    <row r="3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C6BD" sheet="1" objects="1" scenarios="1"/>
  <hyperlinks>
    <hyperlink ref="A2" location="'Faktiske driftsomkostninger'!A1" display="Faktiske driftsomkostninger"/>
    <hyperlink ref="A3" location="'Revisorerklæringer mm.'!A1" display="Revisorerklæringer, medlemskab af brancheforening og øvrige omkostninger"/>
    <hyperlink ref="A10" location="'Ikke-påvirkelige omkostninger'!A1" display="Ikke-påvirkelige omkostninger"/>
    <hyperlink ref="A5" location="'Historiske investeringer'!A1" display="Historiske investeringer"/>
    <hyperlink ref="A6" location="'Gennemførte investeringer'!A1" display="Gennemførte investeringer"/>
    <hyperlink ref="A7" location="'Planlagte investeringer'!A1" display="Planlagte investeringer"/>
    <hyperlink ref="A8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>
      <selection activeCell="F2" sqref="F2"/>
    </sheetView>
  </sheetViews>
  <sheetFormatPr defaultColWidth="0" defaultRowHeight="15" zeroHeight="1" x14ac:dyDescent="0.25"/>
  <cols>
    <col min="1" max="1" width="5" style="21" bestFit="1" customWidth="1"/>
    <col min="2" max="3" width="15.7109375" style="32" customWidth="1"/>
    <col min="4" max="4" width="22.7109375" style="32" customWidth="1"/>
    <col min="5" max="9" width="15.7109375" style="32" customWidth="1"/>
    <col min="10" max="10" width="29.85546875" style="32" customWidth="1"/>
    <col min="11" max="11" width="44.140625" style="32" customWidth="1"/>
    <col min="12" max="12" width="0" hidden="1" customWidth="1"/>
    <col min="13" max="16384" width="9.140625" hidden="1"/>
  </cols>
  <sheetData>
    <row r="1" spans="1:11" s="51" customFormat="1" ht="60.75" thickBot="1" x14ac:dyDescent="0.3">
      <c r="A1" s="49" t="s">
        <v>12</v>
      </c>
      <c r="B1" s="50" t="s">
        <v>13</v>
      </c>
      <c r="C1" s="50" t="s">
        <v>55</v>
      </c>
      <c r="D1" s="50" t="s">
        <v>56</v>
      </c>
      <c r="E1" s="50" t="s">
        <v>49</v>
      </c>
      <c r="F1" s="48" t="s">
        <v>57</v>
      </c>
      <c r="G1" s="48" t="s">
        <v>66</v>
      </c>
      <c r="H1" s="48" t="s">
        <v>58</v>
      </c>
      <c r="I1" s="48" t="s">
        <v>45</v>
      </c>
      <c r="J1" s="11" t="s">
        <v>59</v>
      </c>
      <c r="K1" s="11" t="s">
        <v>60</v>
      </c>
    </row>
    <row r="2" spans="1:11" s="22" customFormat="1" ht="15.75" thickTop="1" x14ac:dyDescent="0.25">
      <c r="A2" s="27">
        <v>2015</v>
      </c>
      <c r="B2" s="45">
        <v>1602779</v>
      </c>
      <c r="C2" s="45">
        <v>0</v>
      </c>
      <c r="D2" s="45">
        <f>B2+C2</f>
        <v>1602779</v>
      </c>
      <c r="E2" s="46">
        <f>D2</f>
        <v>1602779</v>
      </c>
      <c r="F2" s="45">
        <v>2218351</v>
      </c>
      <c r="G2" s="45">
        <v>0</v>
      </c>
      <c r="H2" s="45">
        <f>IF(ISNUMBER(F2),F2-G2,"")</f>
        <v>2218351</v>
      </c>
      <c r="I2" s="45">
        <f>AVERAGEIF(E2:E4,"&lt;&gt;0")</f>
        <v>1444449.4881346666</v>
      </c>
      <c r="J2" s="45"/>
      <c r="K2" s="62">
        <f t="shared" ref="K2" si="0">IF(OR(H2&gt;I2,H2=""),IF(OR(I2&gt;J2,J2=""),I2,J2),H2)</f>
        <v>1444449.4881346666</v>
      </c>
    </row>
    <row r="3" spans="1:11" s="22" customFormat="1" x14ac:dyDescent="0.25">
      <c r="A3" s="27">
        <v>2014</v>
      </c>
      <c r="B3" s="45">
        <v>1397603</v>
      </c>
      <c r="C3" s="45"/>
      <c r="D3" s="45">
        <f t="shared" ref="D3:D4" si="1">B3+C3</f>
        <v>1397603</v>
      </c>
      <c r="E3" s="46">
        <f>D3*Pristalsregulering!C7</f>
        <v>1398721.0824</v>
      </c>
      <c r="F3" s="45"/>
      <c r="G3" s="45"/>
      <c r="H3" s="45"/>
      <c r="I3" s="45"/>
      <c r="J3" s="45"/>
      <c r="K3" s="32"/>
    </row>
    <row r="4" spans="1:11" x14ac:dyDescent="0.25">
      <c r="A4" s="27">
        <v>2013</v>
      </c>
      <c r="B4" s="45">
        <v>1311117</v>
      </c>
      <c r="C4" s="45"/>
      <c r="D4" s="45">
        <f t="shared" si="1"/>
        <v>1311117</v>
      </c>
      <c r="E4" s="46">
        <f>D4*Pristalsregulering!$C$6*Pristalsregulering!$C$7</f>
        <v>1331848.3820039998</v>
      </c>
      <c r="F4" s="45"/>
      <c r="G4" s="45"/>
      <c r="H4" s="45"/>
      <c r="I4" s="45"/>
      <c r="J4" s="45"/>
    </row>
    <row r="5" spans="1:11" hidden="1" x14ac:dyDescent="0.25"/>
    <row r="6" spans="1:11" hidden="1" x14ac:dyDescent="0.25"/>
  </sheetData>
  <sheetProtection password="C6BD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16.140625" style="24" bestFit="1" customWidth="1"/>
    <col min="3" max="3" width="24.28515625" style="24" bestFit="1" customWidth="1"/>
    <col min="4" max="4" width="15.7109375" style="24" customWidth="1"/>
    <col min="5" max="5" width="16.140625" style="24" bestFit="1" customWidth="1"/>
    <col min="6" max="6" width="24.28515625" style="24" bestFit="1" customWidth="1"/>
    <col min="7" max="8" width="15.7109375" style="24" customWidth="1"/>
    <col min="9" max="9" width="9.140625" style="24" hidden="1" customWidth="1"/>
    <col min="10" max="16384" width="9.140625" style="24" hidden="1"/>
  </cols>
  <sheetData>
    <row r="1" spans="1:8" ht="15.75" thickBot="1" x14ac:dyDescent="0.3">
      <c r="A1" s="29"/>
      <c r="B1" s="63" t="s">
        <v>21</v>
      </c>
      <c r="C1" s="64"/>
      <c r="D1" s="64"/>
      <c r="E1" s="65" t="s">
        <v>50</v>
      </c>
      <c r="F1" s="66"/>
      <c r="G1" s="67"/>
      <c r="H1" s="28"/>
    </row>
    <row r="2" spans="1:8" s="20" customFormat="1" ht="15.75" thickTop="1" x14ac:dyDescent="0.25">
      <c r="A2" s="18" t="s">
        <v>12</v>
      </c>
      <c r="B2" s="16" t="s">
        <v>22</v>
      </c>
      <c r="C2" s="19" t="s">
        <v>23</v>
      </c>
      <c r="D2" s="19" t="s">
        <v>24</v>
      </c>
      <c r="E2" s="16" t="s">
        <v>22</v>
      </c>
      <c r="F2" s="19" t="s">
        <v>23</v>
      </c>
      <c r="G2" s="42" t="s">
        <v>24</v>
      </c>
      <c r="H2" s="6" t="s">
        <v>26</v>
      </c>
    </row>
    <row r="3" spans="1:8" x14ac:dyDescent="0.25">
      <c r="A3" s="30">
        <v>2015</v>
      </c>
      <c r="B3" s="37">
        <v>6400</v>
      </c>
      <c r="C3" s="38">
        <v>12485</v>
      </c>
      <c r="D3" s="38">
        <v>0</v>
      </c>
      <c r="E3" s="37">
        <f>B3</f>
        <v>6400</v>
      </c>
      <c r="F3" s="38">
        <f t="shared" ref="F3:G3" si="0">C3</f>
        <v>12485</v>
      </c>
      <c r="G3" s="39">
        <f t="shared" si="0"/>
        <v>0</v>
      </c>
      <c r="H3" s="40">
        <f>IF(E3=0,0,AVERAGEIF(E3:E5,"&lt;&gt;0"))+IF(F3=0,0,AVERAGEIF(F3:F5,"&lt;&gt;0"))+IF(G3=0,0,AVERAGEIF(G3:G5,"&lt;&gt;0"))</f>
        <v>26277.123602666667</v>
      </c>
    </row>
    <row r="4" spans="1:8" x14ac:dyDescent="0.25">
      <c r="A4" s="30">
        <v>2014</v>
      </c>
      <c r="B4" s="37">
        <v>0</v>
      </c>
      <c r="C4" s="38">
        <v>12514</v>
      </c>
      <c r="D4" s="38">
        <v>0</v>
      </c>
      <c r="E4" s="37">
        <f>B4*Pristalsregulering!$C$7</f>
        <v>0</v>
      </c>
      <c r="F4" s="38">
        <f>C4*Pristalsregulering!$C$7</f>
        <v>12524.011199999999</v>
      </c>
      <c r="G4" s="39">
        <f>D4*Pristalsregulering!$C$7</f>
        <v>0</v>
      </c>
      <c r="H4" s="38"/>
    </row>
    <row r="5" spans="1:8" x14ac:dyDescent="0.25">
      <c r="A5" s="30">
        <v>2013</v>
      </c>
      <c r="B5" s="37">
        <v>21000</v>
      </c>
      <c r="C5" s="38">
        <v>12034</v>
      </c>
      <c r="D5" s="38">
        <v>0</v>
      </c>
      <c r="E5" s="37">
        <f>B5*Pristalsregulering!$C$7*Pristalsregulering!$C$6</f>
        <v>21332.051999999996</v>
      </c>
      <c r="F5" s="38">
        <f>C5*Pristalsregulering!$C$7*Pristalsregulering!$C$6</f>
        <v>12224.281607999998</v>
      </c>
      <c r="G5" s="39">
        <f>D5*Pristalsregulering!$C$7*Pristalsregulering!$C$6</f>
        <v>0</v>
      </c>
      <c r="H5" s="38"/>
    </row>
    <row r="6" spans="1:8" hidden="1" x14ac:dyDescent="0.25"/>
    <row r="7" spans="1:8" hidden="1" x14ac:dyDescent="0.25"/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1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2" bestFit="1" customWidth="1"/>
    <col min="8" max="16384" width="9.140625" hidden="1"/>
  </cols>
  <sheetData>
    <row r="1" spans="1:7" s="21" customFormat="1" ht="15.75" thickBot="1" x14ac:dyDescent="0.3">
      <c r="A1" s="61"/>
      <c r="B1" s="66" t="s">
        <v>63</v>
      </c>
      <c r="C1" s="66"/>
      <c r="D1" s="67"/>
      <c r="E1" s="68" t="s">
        <v>64</v>
      </c>
      <c r="F1" s="68"/>
      <c r="G1" s="68"/>
    </row>
    <row r="2" spans="1:7" s="21" customFormat="1" ht="15.75" thickTop="1" x14ac:dyDescent="0.25">
      <c r="A2" s="59" t="s">
        <v>12</v>
      </c>
      <c r="B2" s="22" t="s">
        <v>61</v>
      </c>
      <c r="C2" s="22" t="s">
        <v>1</v>
      </c>
      <c r="D2" s="27" t="s">
        <v>62</v>
      </c>
      <c r="E2" s="21" t="s">
        <v>0</v>
      </c>
      <c r="F2" s="21" t="s">
        <v>1</v>
      </c>
      <c r="G2" s="21" t="s">
        <v>2</v>
      </c>
    </row>
    <row r="3" spans="1:7" s="21" customFormat="1" x14ac:dyDescent="0.25">
      <c r="A3" s="60">
        <v>2015</v>
      </c>
      <c r="B3" s="35">
        <v>1404744.6433924157</v>
      </c>
      <c r="C3" s="35">
        <v>306508</v>
      </c>
      <c r="D3" s="36">
        <v>11000</v>
      </c>
      <c r="E3" s="32">
        <f>B3*Pristalsregulering!C2*Pristalsregulering!C3*Pristalsregulering!C4*Pristalsregulering!C5*Pristalsregulering!C6*Pristalsregulering!C7</f>
        <v>1529344.039450719</v>
      </c>
      <c r="F3" s="32">
        <v>324738</v>
      </c>
      <c r="G3" s="32">
        <f>D3</f>
        <v>11000</v>
      </c>
    </row>
    <row r="4" spans="1:7" s="21" customFormat="1" hidden="1" x14ac:dyDescent="0.25">
      <c r="A4" s="22"/>
      <c r="B4" s="22"/>
      <c r="C4" s="22"/>
      <c r="D4" s="22"/>
    </row>
    <row r="5" spans="1:7" s="25" customFormat="1" hidden="1" x14ac:dyDescent="0.25">
      <c r="A5" s="6"/>
      <c r="B5" s="6"/>
      <c r="C5" s="6"/>
      <c r="D5" s="31"/>
    </row>
    <row r="6" spans="1:7" hidden="1" x14ac:dyDescent="0.25">
      <c r="A6" s="24"/>
      <c r="B6" s="58"/>
      <c r="C6" s="38"/>
      <c r="D6" s="22"/>
    </row>
    <row r="7" spans="1:7" hidden="1" x14ac:dyDescent="0.25">
      <c r="A7" s="24"/>
      <c r="B7" s="24"/>
      <c r="C7" s="24"/>
      <c r="D7" s="22"/>
    </row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7" customWidth="1"/>
    <col min="6" max="7" width="15.7109375" customWidth="1"/>
    <col min="8" max="8" width="18.140625" bestFit="1" customWidth="1"/>
    <col min="9" max="9" width="15.7109375" style="27" customWidth="1"/>
    <col min="10" max="11" width="15.7109375" customWidth="1"/>
    <col min="12" max="12" width="15.7109375" style="27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29"/>
      <c r="B1" s="63" t="s">
        <v>37</v>
      </c>
      <c r="C1" s="64"/>
      <c r="D1" s="64"/>
      <c r="E1" s="64"/>
      <c r="F1" s="65" t="s">
        <v>51</v>
      </c>
      <c r="G1" s="66"/>
      <c r="H1" s="66"/>
      <c r="I1" s="66"/>
      <c r="J1" s="69" t="s">
        <v>26</v>
      </c>
      <c r="K1" s="68"/>
      <c r="L1" s="70"/>
      <c r="M1" s="13"/>
    </row>
    <row r="2" spans="1:14" s="25" customFormat="1" ht="15.75" thickTop="1" x14ac:dyDescent="0.25">
      <c r="A2" s="18" t="s">
        <v>12</v>
      </c>
      <c r="B2" s="8" t="s">
        <v>38</v>
      </c>
      <c r="C2" s="7" t="s">
        <v>39</v>
      </c>
      <c r="D2" s="7" t="s">
        <v>40</v>
      </c>
      <c r="E2" s="47" t="s">
        <v>41</v>
      </c>
      <c r="F2" s="7" t="s">
        <v>38</v>
      </c>
      <c r="G2" s="7" t="s">
        <v>39</v>
      </c>
      <c r="H2" s="7" t="s">
        <v>40</v>
      </c>
      <c r="I2" s="47" t="s">
        <v>41</v>
      </c>
      <c r="J2" s="19" t="s">
        <v>42</v>
      </c>
      <c r="K2" s="19" t="s">
        <v>39</v>
      </c>
      <c r="L2" s="15" t="s">
        <v>67</v>
      </c>
      <c r="M2" s="6" t="s">
        <v>25</v>
      </c>
      <c r="N2" s="31"/>
    </row>
    <row r="3" spans="1:14" x14ac:dyDescent="0.25">
      <c r="A3" s="27">
        <v>2015</v>
      </c>
      <c r="B3" s="41">
        <v>0</v>
      </c>
      <c r="C3" s="35">
        <v>0</v>
      </c>
      <c r="D3" s="35">
        <v>0</v>
      </c>
      <c r="E3" s="36">
        <v>0</v>
      </c>
      <c r="F3" s="35">
        <f>B3</f>
        <v>0</v>
      </c>
      <c r="G3" s="35">
        <f>C3</f>
        <v>0</v>
      </c>
      <c r="H3" s="35">
        <f>D3</f>
        <v>0</v>
      </c>
      <c r="I3" s="36">
        <f>E3</f>
        <v>0</v>
      </c>
      <c r="J3" s="38">
        <f>AVERAGE(F3:F5)</f>
        <v>0</v>
      </c>
      <c r="K3" s="38">
        <f>G3</f>
        <v>0</v>
      </c>
      <c r="L3" s="39">
        <f>AVERAGE(H3:H5)+AVERAGE(I3:I5)</f>
        <v>0</v>
      </c>
      <c r="M3" s="40">
        <f>SUM(J3:L3)</f>
        <v>0</v>
      </c>
      <c r="N3" s="22"/>
    </row>
    <row r="4" spans="1:14" x14ac:dyDescent="0.25">
      <c r="A4" s="27">
        <v>2014</v>
      </c>
      <c r="B4" s="41">
        <v>0</v>
      </c>
      <c r="C4" s="35">
        <v>0</v>
      </c>
      <c r="D4" s="35">
        <v>0</v>
      </c>
      <c r="E4" s="36">
        <v>0</v>
      </c>
      <c r="F4" s="35">
        <f>IF(B4="","",B4*Pristalsregulering!$C$7)</f>
        <v>0</v>
      </c>
      <c r="G4" s="35">
        <f>IF(C4="","",C4*Pristalsregulering!$C$7)</f>
        <v>0</v>
      </c>
      <c r="H4" s="35">
        <f>IF(D4="","",D4*Pristalsregulering!$C$7)</f>
        <v>0</v>
      </c>
      <c r="I4" s="36">
        <f>IF(E4="","",E4*Pristalsregulering!$C$7)</f>
        <v>0</v>
      </c>
      <c r="J4" s="35"/>
      <c r="L4" s="36"/>
      <c r="M4" s="32"/>
    </row>
    <row r="5" spans="1:14" x14ac:dyDescent="0.25">
      <c r="A5" s="27">
        <v>2013</v>
      </c>
      <c r="B5" s="41">
        <v>0</v>
      </c>
      <c r="C5" s="35">
        <v>0</v>
      </c>
      <c r="D5" s="35">
        <v>0</v>
      </c>
      <c r="E5" s="36">
        <v>0</v>
      </c>
      <c r="F5" s="35">
        <f>IF(B5="","",B5*Pristalsregulering!$C$7*Pristalsregulering!$C$6)</f>
        <v>0</v>
      </c>
      <c r="G5" s="35">
        <f>IF(C5="","",C5*Pristalsregulering!$C$7*Pristalsregulering!$C$6)</f>
        <v>0</v>
      </c>
      <c r="H5" s="35">
        <f>IF(D5="","",D5*Pristalsregulering!$C$7*Pristalsregulering!$C$6)</f>
        <v>0</v>
      </c>
      <c r="I5" s="36">
        <f>IF(E5="","",E5*Pristalsregulering!$C$7*Pristalsregulering!$C$6)</f>
        <v>0</v>
      </c>
      <c r="J5" s="32"/>
      <c r="L5" s="36"/>
      <c r="M5" s="32"/>
    </row>
  </sheetData>
  <sheetProtection password="C6BD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34.28515625" style="24" bestFit="1" customWidth="1"/>
    <col min="3" max="3" width="24" style="24" bestFit="1" customWidth="1"/>
    <col min="4" max="4" width="16.42578125" style="24" bestFit="1" customWidth="1"/>
    <col min="5" max="5" width="23.7109375" style="24" bestFit="1" customWidth="1"/>
    <col min="6" max="6" width="15.7109375" style="24" customWidth="1"/>
    <col min="7" max="7" width="25" style="24" bestFit="1" customWidth="1"/>
    <col min="8" max="8" width="16.5703125" style="24" bestFit="1" customWidth="1"/>
    <col min="9" max="9" width="51.7109375" style="24" bestFit="1" customWidth="1"/>
    <col min="10" max="10" width="44.5703125" style="24" bestFit="1" customWidth="1"/>
    <col min="11" max="11" width="44.5703125" style="24" customWidth="1"/>
    <col min="12" max="12" width="16.85546875" style="30" bestFit="1" customWidth="1"/>
    <col min="13" max="13" width="15.7109375" style="24" customWidth="1"/>
    <col min="14" max="17" width="0" style="24" hidden="1" customWidth="1"/>
    <col min="18" max="16384" width="9.140625" style="24" hidden="1"/>
  </cols>
  <sheetData>
    <row r="1" spans="1:13" s="20" customFormat="1" ht="15.75" thickBot="1" x14ac:dyDescent="0.3">
      <c r="A1" s="12" t="s">
        <v>12</v>
      </c>
      <c r="B1" s="56" t="s">
        <v>27</v>
      </c>
      <c r="C1" s="56" t="s">
        <v>28</v>
      </c>
      <c r="D1" s="56" t="s">
        <v>29</v>
      </c>
      <c r="E1" s="56" t="s">
        <v>30</v>
      </c>
      <c r="F1" s="56" t="s">
        <v>31</v>
      </c>
      <c r="G1" s="56" t="s">
        <v>32</v>
      </c>
      <c r="H1" s="56" t="s">
        <v>33</v>
      </c>
      <c r="I1" s="56" t="s">
        <v>34</v>
      </c>
      <c r="J1" s="56" t="s">
        <v>35</v>
      </c>
      <c r="K1" s="56" t="s">
        <v>52</v>
      </c>
      <c r="L1" s="57" t="s">
        <v>36</v>
      </c>
      <c r="M1" s="14" t="s">
        <v>25</v>
      </c>
    </row>
    <row r="2" spans="1:13" ht="15.75" thickTop="1" x14ac:dyDescent="0.25">
      <c r="A2" s="30">
        <v>2015</v>
      </c>
      <c r="B2" s="38">
        <v>32522.74</v>
      </c>
      <c r="C2" s="38">
        <v>0</v>
      </c>
      <c r="D2" s="38">
        <v>0</v>
      </c>
      <c r="E2" s="38">
        <v>0</v>
      </c>
      <c r="F2" s="38">
        <v>0</v>
      </c>
      <c r="G2" s="38">
        <v>1975652.83</v>
      </c>
      <c r="H2" s="38" t="s">
        <v>43</v>
      </c>
      <c r="I2" s="38">
        <v>0</v>
      </c>
      <c r="J2" s="38">
        <v>0</v>
      </c>
      <c r="K2" s="38"/>
      <c r="L2" s="39"/>
      <c r="M2" s="40">
        <f>SUM(B2:L2)</f>
        <v>2008175.57</v>
      </c>
    </row>
    <row r="3" spans="1:13" hidden="1" x14ac:dyDescent="0.25">
      <c r="B3" s="24">
        <v>32490</v>
      </c>
      <c r="C3" s="24">
        <v>0</v>
      </c>
      <c r="D3" s="24">
        <v>0</v>
      </c>
      <c r="E3" s="24">
        <v>0</v>
      </c>
      <c r="F3" s="24">
        <v>210959</v>
      </c>
      <c r="G3" s="24">
        <v>1661218</v>
      </c>
      <c r="H3" s="24" t="s">
        <v>43</v>
      </c>
    </row>
    <row r="4" spans="1:13" hidden="1" x14ac:dyDescent="0.25">
      <c r="B4" s="24">
        <v>32328</v>
      </c>
      <c r="C4" s="24">
        <v>0</v>
      </c>
      <c r="D4" s="24">
        <v>0</v>
      </c>
      <c r="E4" s="24">
        <v>0</v>
      </c>
      <c r="F4" s="24">
        <v>0</v>
      </c>
      <c r="G4" s="24">
        <v>1602946</v>
      </c>
      <c r="H4" s="24" t="s">
        <v>43</v>
      </c>
    </row>
    <row r="5" spans="1:13" hidden="1" x14ac:dyDescent="0.25">
      <c r="B5" s="24" t="e">
        <v>#N/A</v>
      </c>
      <c r="C5" s="24" t="e">
        <v>#N/A</v>
      </c>
      <c r="D5" s="24" t="e">
        <v>#N/A</v>
      </c>
      <c r="E5" s="24" t="e">
        <v>#N/A</v>
      </c>
      <c r="F5" s="24" t="e">
        <v>#N/A</v>
      </c>
      <c r="G5" s="24" t="e">
        <v>#N/A</v>
      </c>
      <c r="H5" s="24" t="e">
        <v>#N/A</v>
      </c>
      <c r="I5" s="24" t="e">
        <v>#N/A</v>
      </c>
      <c r="J5" s="24" t="e">
        <v>#N/A</v>
      </c>
    </row>
  </sheetData>
  <sheetProtection password="C6BD" sheet="1" objects="1" scenarios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1" bestFit="1" customWidth="1"/>
    <col min="2" max="2" width="12.42578125" style="21" bestFit="1" customWidth="1"/>
    <col min="3" max="3" width="15.42578125" style="21" bestFit="1" customWidth="1"/>
    <col min="4" max="4" width="0" style="21" hidden="1" customWidth="1"/>
    <col min="5" max="16384" width="9.140625" style="21" hidden="1"/>
  </cols>
  <sheetData>
    <row r="1" spans="1:4" ht="15.75" thickBot="1" x14ac:dyDescent="0.3">
      <c r="A1" s="9" t="s">
        <v>12</v>
      </c>
      <c r="B1" s="10" t="s">
        <v>14</v>
      </c>
      <c r="C1" s="10" t="s">
        <v>15</v>
      </c>
      <c r="D1" s="22"/>
    </row>
    <row r="2" spans="1:4" ht="15.75" thickTop="1" x14ac:dyDescent="0.25">
      <c r="A2" s="54" t="s">
        <v>53</v>
      </c>
      <c r="B2" s="55">
        <v>1.11E-2</v>
      </c>
      <c r="C2" s="22">
        <f t="shared" ref="C2" si="0">1+B2</f>
        <v>1.0111000000000001</v>
      </c>
      <c r="D2" s="22"/>
    </row>
    <row r="3" spans="1:4" x14ac:dyDescent="0.25">
      <c r="A3" s="27" t="s">
        <v>16</v>
      </c>
      <c r="B3" s="22">
        <v>5.0000000000000001E-3</v>
      </c>
      <c r="C3" s="22">
        <f t="shared" ref="C3:C6" si="1">1+B3</f>
        <v>1.0049999999999999</v>
      </c>
      <c r="D3" s="22"/>
    </row>
    <row r="4" spans="1:4" x14ac:dyDescent="0.25">
      <c r="A4" s="27" t="s">
        <v>17</v>
      </c>
      <c r="B4" s="22">
        <v>2.3E-2</v>
      </c>
      <c r="C4" s="22">
        <f t="shared" si="1"/>
        <v>1.0229999999999999</v>
      </c>
      <c r="D4" s="22"/>
    </row>
    <row r="5" spans="1:4" x14ac:dyDescent="0.25">
      <c r="A5" s="27" t="s">
        <v>18</v>
      </c>
      <c r="B5" s="22">
        <v>3.1E-2</v>
      </c>
      <c r="C5" s="22">
        <f t="shared" si="1"/>
        <v>1.0309999999999999</v>
      </c>
      <c r="D5" s="22"/>
    </row>
    <row r="6" spans="1:4" x14ac:dyDescent="0.25">
      <c r="A6" s="27" t="s">
        <v>19</v>
      </c>
      <c r="B6" s="22">
        <v>1.4999999999999999E-2</v>
      </c>
      <c r="C6" s="22">
        <f t="shared" si="1"/>
        <v>1.0149999999999999</v>
      </c>
      <c r="D6" s="22"/>
    </row>
    <row r="7" spans="1:4" x14ac:dyDescent="0.25">
      <c r="A7" s="27" t="s">
        <v>20</v>
      </c>
      <c r="B7" s="22">
        <v>8.0000000000000004E-4</v>
      </c>
      <c r="C7" s="22">
        <f>1+B7</f>
        <v>1.0007999999999999</v>
      </c>
      <c r="D7" s="22"/>
    </row>
    <row r="8" spans="1:4" x14ac:dyDescent="0.25">
      <c r="A8" s="27" t="s">
        <v>46</v>
      </c>
      <c r="B8" s="24">
        <v>-3.8E-3</v>
      </c>
      <c r="C8" s="22">
        <f t="shared" ref="C8:C9" si="2">1+B8</f>
        <v>0.99619999999999997</v>
      </c>
      <c r="D8" s="22"/>
    </row>
    <row r="9" spans="1:4" x14ac:dyDescent="0.25">
      <c r="A9" s="27" t="s">
        <v>47</v>
      </c>
      <c r="B9" s="24">
        <v>1.2699999999999999E-2</v>
      </c>
      <c r="C9" s="22">
        <f t="shared" si="2"/>
        <v>1.0126999999999999</v>
      </c>
    </row>
  </sheetData>
  <sheetProtection password="C6BD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7</vt:i4>
      </vt:variant>
    </vt:vector>
  </HeadingPairs>
  <TitlesOfParts>
    <vt:vector size="7" baseType="lpstr">
      <vt:lpstr>Grundlag</vt:lpstr>
      <vt:lpstr>Faktiske driftsomkostninger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Christina Cramer Calonius Hoffgaard</cp:lastModifiedBy>
  <dcterms:created xsi:type="dcterms:W3CDTF">2016-02-18T09:14:14Z</dcterms:created>
  <dcterms:modified xsi:type="dcterms:W3CDTF">2016-12-15T11:32:40Z</dcterms:modified>
</cp:coreProperties>
</file>