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J3" i="16" l="1"/>
  <c r="K3" i="16"/>
  <c r="L3" i="16"/>
  <c r="M3" i="16"/>
  <c r="N3" i="16"/>
  <c r="O3" i="16"/>
  <c r="I3" i="16"/>
  <c r="F3" i="17" l="1"/>
  <c r="G3" i="17"/>
  <c r="J4" i="16" l="1"/>
  <c r="K4" i="16"/>
  <c r="L4" i="16"/>
  <c r="M4" i="16"/>
  <c r="N4" i="16"/>
  <c r="U3" i="16" s="1"/>
  <c r="O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5" i="16"/>
  <c r="M6" i="16"/>
  <c r="K5" i="16"/>
  <c r="J6" i="16"/>
  <c r="J3" i="24"/>
  <c r="M3" i="24" s="1"/>
  <c r="I5" i="16"/>
  <c r="O6" i="16"/>
  <c r="O5" i="16"/>
  <c r="L5" i="16"/>
  <c r="I6" i="16"/>
  <c r="L6" i="16"/>
  <c r="K6" i="16"/>
  <c r="N5" i="16"/>
  <c r="N6" i="16"/>
  <c r="M5" i="16"/>
  <c r="T3" i="16" l="1"/>
  <c r="Q3" i="16"/>
  <c r="S3" i="16"/>
  <c r="R3" i="16"/>
  <c r="V3" i="16"/>
  <c r="P3" i="16"/>
  <c r="B9" i="12"/>
  <c r="B10" i="12" s="1"/>
  <c r="H3" i="17"/>
  <c r="B4" i="12" s="1"/>
  <c r="I2" i="15"/>
  <c r="K2" i="15" s="1"/>
  <c r="B2" i="12" s="1"/>
  <c r="W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<sst xmlns="http://schemas.openxmlformats.org/spreadsheetml/2006/main" count="127" uniqueCount="81">
  <si>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</si>
  <si>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</si>
  <si>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</si>
  <si>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</si>
  <si>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</si>
  <si>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</si>
  <si>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</si>
  <si>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</si>
  <si>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</si>
  <si>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</si>
  <si>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</si>
  <si>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</si>
  <si>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</si>
  <si>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</si>
  <si>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</si>
  <si>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</si>
  <si>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</si>
  <si>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</si>
  <si>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</si>
  <si>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</si>
  <si>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</si>
  <si>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</si>
  <si>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</si>
  <si>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Vandbesparende tiltag</t>
  </si>
  <si>
    <t>Områdeundersøgelser</t>
  </si>
  <si>
    <t>ADK (adgangskontrol)</t>
  </si>
  <si>
    <t>Vand- og Energiværksted</t>
  </si>
  <si>
    <t>Overtagelse af private ledninger i Herlev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</si>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</sst>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6469251.9768973319</v>
      </c>
      <c r="C2" t="s">
        <v>11</v>
      </c>
    </row>
    <row r="3" spans="1:3" s="2" customFormat="1" x14ac:dyDescent="0.25">
      <c r="A3" s="5" t="s">
        <v>8</v>
      </c>
      <c r="B3" s="37">
        <f>'Miljø- og servicemål'!W3</f>
        <v>343722.47199999995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39160.155769333331</v>
      </c>
      <c r="C4" t="s">
        <v>11</v>
      </c>
    </row>
    <row r="5" spans="1:3" s="26" customFormat="1" x14ac:dyDescent="0.25">
      <c r="A5" s="3" t="s">
        <v>12</v>
      </c>
      <c r="B5" s="49">
        <f>SUM(B2:B4)</f>
        <v>6852134.6046666652</v>
      </c>
      <c r="C5" s="64" t="s">
        <v>11</v>
      </c>
    </row>
    <row r="6" spans="1:3" x14ac:dyDescent="0.25">
      <c r="A6" s="48" t="s">
        <v>0</v>
      </c>
      <c r="B6" s="39">
        <f>Investeringer!E3</f>
        <v>2540373.5236186315</v>
      </c>
      <c r="C6" s="23" t="s">
        <v>11</v>
      </c>
    </row>
    <row r="7" spans="1:3" x14ac:dyDescent="0.25">
      <c r="A7" s="4" t="s">
        <v>1</v>
      </c>
      <c r="B7" s="36">
        <f>Investeringer!F3</f>
        <v>1071373.5418308889</v>
      </c>
      <c r="C7" t="s">
        <v>11</v>
      </c>
    </row>
    <row r="8" spans="1:3" x14ac:dyDescent="0.25">
      <c r="A8" s="4" t="s">
        <v>2</v>
      </c>
      <c r="B8" s="36">
        <f>Investeringer!G3</f>
        <v>338461.44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401838.86167066667</v>
      </c>
      <c r="C9" t="s">
        <v>11</v>
      </c>
    </row>
    <row r="10" spans="1:3" s="22" customFormat="1" x14ac:dyDescent="0.25">
      <c r="A10" s="3" t="s">
        <v>53</v>
      </c>
      <c r="B10" s="49">
        <f>SUM(B6:B9)</f>
        <v>4352047.3671201868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15564916</v>
      </c>
      <c r="C11" t="s">
        <v>11</v>
      </c>
    </row>
    <row r="12" spans="1:3" s="22" customFormat="1" x14ac:dyDescent="0.25">
      <c r="A12" s="3" t="s">
        <v>75</v>
      </c>
      <c r="B12" s="49">
        <f>SUM(B11:B11)</f>
        <v>15564916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64</v>
      </c>
      <c r="B14" s="38">
        <f>SUM(B5,B10,B12)</f>
        <v>26769097.971786853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57</v>
      </c>
      <c r="B16" s="38">
        <f>B14*Pristalsregulering!C8*Pristalsregulering!C9</f>
        <v>27006051.067067634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65</v>
      </c>
      <c r="D1" s="61" t="s">
        <v>66</v>
      </c>
      <c r="E1" s="61" t="s">
        <v>58</v>
      </c>
      <c r="F1" s="53" t="s">
        <v>67</v>
      </c>
      <c r="G1" s="53" t="s">
        <v>76</v>
      </c>
      <c r="H1" s="53" t="s">
        <v>68</v>
      </c>
      <c r="I1" s="53" t="s">
        <v>54</v>
      </c>
      <c r="J1" s="11" t="s">
        <v>69</v>
      </c>
      <c r="K1" s="11" t="s">
        <v>70</v>
      </c>
    </row>
    <row r="2" spans="1:11" s="23" customFormat="1" ht="15.75" thickTop="1" x14ac:dyDescent="0.25">
      <c r="A2" s="28">
        <v>2015</v>
      </c>
      <c r="B2" s="50">
        <v>5641357</v>
      </c>
      <c r="C2" s="50">
        <v>0</v>
      </c>
      <c r="D2" s="50">
        <f>B2+C2</f>
        <v>5641357</v>
      </c>
      <c r="E2" s="51">
        <f>D2</f>
        <v>5641357</v>
      </c>
      <c r="F2" s="50">
        <v>7728168.2495525498</v>
      </c>
      <c r="G2" s="50">
        <v>0</v>
      </c>
      <c r="H2" s="50">
        <f>F2-G2</f>
        <v>7728168.2495525498</v>
      </c>
      <c r="I2" s="50">
        <f>AVERAGEIF(E2:E4,"&lt;&gt;0")</f>
        <v>6469251.9768973319</v>
      </c>
      <c r="J2" s="50">
        <v>3053859.6834046366</v>
      </c>
      <c r="K2" s="40">
        <f>IF(H2&gt;I2,IF(I2&gt;J2,I2,J2),H2)</f>
        <v>6469251.9768973319</v>
      </c>
    </row>
    <row r="3" spans="1:11" s="23" customFormat="1" x14ac:dyDescent="0.25">
      <c r="A3" s="28">
        <v>2014</v>
      </c>
      <c r="B3" s="50">
        <v>5033458</v>
      </c>
      <c r="C3" s="50"/>
      <c r="D3" s="50">
        <f t="shared" ref="D3:D4" si="0">B3+C3</f>
        <v>5033458</v>
      </c>
      <c r="E3" s="51">
        <f>D3*Pristalsregulering!C7</f>
        <v>5037484.7663999991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8593041</v>
      </c>
      <c r="C4" s="50"/>
      <c r="D4" s="50">
        <f t="shared" si="0"/>
        <v>8593041</v>
      </c>
      <c r="E4" s="51">
        <f>D4*Pristalsregulering!$C$6*Pristalsregulering!$C$7</f>
        <v>8728914.1642919984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8" width="30.7109375" customWidth="1"/>
    <col min="9" max="9" width="30.7109375" style="56" customWidth="1"/>
    <col min="10" max="15" width="30.7109375" customWidth="1"/>
    <col min="16" max="16" width="30.7109375" style="56" customWidth="1"/>
    <col min="17" max="22" width="30.7109375" customWidth="1"/>
    <col min="23" max="23" width="30.7109375" style="56" customWidth="1"/>
    <col min="24" max="24" width="9.140625" hidden="1" customWidth="1"/>
    <col min="60" max="60" width="9.140625" hidden="1"/>
    <col min="83" max="83" width="9.140625" hidden="1"/>
    <col min="119" max="119" width="9.140625" hidden="1"/>
    <col min="121" max="121" width="9.140625" hidden="1"/>
    <col min="128" max="128" width="9.140625" hidden="1"/>
    <col min="130" max="130" width="9.140625" hidden="1"/>
    <col min="155" max="155" width="9.140625" hidden="1"/>
    <col min="157" max="157" width="9.140625" hidden="1"/>
    <col min="164" max="164" width="9.140625" hidden="1"/>
    <col min="166" max="166" width="9.140625" hidden="1"/>
    <col min="178" max="178" width="9.140625" hidden="1"/>
    <col min="180" max="180" width="9.140625" hidden="1"/>
    <col min="187" max="187" width="9.140625" hidden="1"/>
    <col min="189" max="189" width="9.140625" hidden="1"/>
    <col min="214" max="214" width="9.140625" hidden="1"/>
    <col min="216" max="216" width="9.140625" hidden="1"/>
    <col min="223" max="223" width="9.140625" hidden="1"/>
    <col min="225" max="225" width="9.140625" hidden="1"/>
    <col min="227" max="227" width="9.140625" hidden="1"/>
    <col min="232" max="232" width="9.140625" hidden="1"/>
    <col min="234" max="234" width="9.140625" hidden="1"/>
    <col min="236" max="236" width="9.140625" hidden="1"/>
    <col min="250" max="250" width="9.140625" hidden="1"/>
    <col min="252" max="252" width="9.140625" hidden="1"/>
    <col min="259" max="259" width="9.140625" hidden="1"/>
    <col min="261" max="261" width="9.140625" hidden="1"/>
    <col min="263" max="263" width="9.140625" hidden="1"/>
    <col min="268" max="268" width="9.140625" hidden="1"/>
    <col min="270" max="270" width="9.140625" hidden="1"/>
    <col min="272" max="273" width="9.140625" hidden="1"/>
    <col min="275" max="275" width="9.140625" hidden="1"/>
    <col min="282" max="282" width="9.140625" hidden="1"/>
    <col min="284" max="284" width="9.140625" hidden="1"/>
    <col min="286" max="286" width="9.140625" hidden="1"/>
    <col min="291" max="291" width="9.140625" hidden="1"/>
    <col min="293" max="293" width="9.140625" hidden="1"/>
    <col min="295" max="295" width="9.140625" hidden="1"/>
    <col min="309" max="309" width="9.140625" hidden="1"/>
    <col min="311" max="311" width="9.140625" hidden="1"/>
    <col min="318" max="318" width="9.140625" hidden="1"/>
    <col min="320" max="320" width="9.140625" hidden="1"/>
    <col min="322" max="322" width="9.140625" hidden="1"/>
    <col min="327" max="327" width="9.140625" hidden="1"/>
    <col min="329" max="329" width="9.140625" hidden="1"/>
    <col min="331" max="331" width="9.140625" hidden="1"/>
    <col min="333" max="333" width="9.140625" hidden="1"/>
    <col min="336" max="336" width="9.140625" hidden="1"/>
    <col min="338" max="338" width="9.140625" hidden="1"/>
    <col min="340" max="340" width="9.140625" hidden="1"/>
    <col min="342" max="16384" width="9.140625" hidden="1"/>
  </cols>
  <sheetData>
    <row r="1" spans="1:23" s="27" customFormat="1" ht="15.75" thickBot="1" x14ac:dyDescent="0.3">
      <c r="A1" s="9"/>
      <c r="B1" s="33" t="s">
        <v>78</v>
      </c>
      <c r="C1" s="33"/>
      <c r="D1" s="33"/>
      <c r="E1" s="33"/>
      <c r="F1" s="33"/>
      <c r="G1" s="33"/>
      <c r="H1" s="33"/>
      <c r="I1" s="76" t="s">
        <v>79</v>
      </c>
      <c r="J1" s="10"/>
      <c r="K1" s="10"/>
      <c r="L1" s="10"/>
      <c r="M1" s="10"/>
      <c r="N1" s="10"/>
      <c r="O1" s="10"/>
      <c r="P1" s="76" t="s">
        <v>80</v>
      </c>
      <c r="Q1" s="10"/>
      <c r="R1" s="10"/>
      <c r="S1" s="10"/>
      <c r="T1" s="10"/>
      <c r="U1" s="10"/>
      <c r="V1" s="10"/>
      <c r="W1" s="65"/>
    </row>
    <row r="2" spans="1:23" ht="30.75" thickTop="1" x14ac:dyDescent="0.25">
      <c r="A2" s="17" t="s">
        <v>13</v>
      </c>
      <c r="B2" s="34" t="s">
        <v>61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35" t="s">
        <v>28</v>
      </c>
      <c r="I2" s="57" t="s">
        <v>22</v>
      </c>
      <c r="J2" s="35" t="s">
        <v>23</v>
      </c>
      <c r="K2" s="35" t="s">
        <v>24</v>
      </c>
      <c r="L2" s="35" t="s">
        <v>25</v>
      </c>
      <c r="M2" s="35" t="s">
        <v>26</v>
      </c>
      <c r="N2" s="35" t="s">
        <v>27</v>
      </c>
      <c r="O2" s="35" t="s">
        <v>28</v>
      </c>
      <c r="P2" s="58" t="s">
        <v>22</v>
      </c>
      <c r="Q2" s="35" t="s">
        <v>23</v>
      </c>
      <c r="R2" s="35" t="s">
        <v>24</v>
      </c>
      <c r="S2" s="35" t="s">
        <v>25</v>
      </c>
      <c r="T2" s="35" t="s">
        <v>26</v>
      </c>
      <c r="U2" s="35" t="s">
        <v>27</v>
      </c>
      <c r="V2" s="35" t="s">
        <v>28</v>
      </c>
      <c r="W2" s="54" t="s">
        <v>29</v>
      </c>
    </row>
    <row r="3" spans="1:23" s="22" customFormat="1" x14ac:dyDescent="0.25">
      <c r="A3" s="28">
        <v>2016</v>
      </c>
      <c r="B3" s="74"/>
      <c r="C3" s="75"/>
      <c r="D3" s="75"/>
      <c r="E3" s="75"/>
      <c r="F3" s="75"/>
      <c r="G3" s="75">
        <v>10000</v>
      </c>
      <c r="H3" s="75"/>
      <c r="I3" s="46">
        <f t="shared" ref="I3" si="0">B3</f>
        <v>0</v>
      </c>
      <c r="J3" s="36">
        <f>C3</f>
        <v>0</v>
      </c>
      <c r="K3" s="36">
        <f>D3</f>
        <v>0</v>
      </c>
      <c r="L3" s="36">
        <f>E3</f>
        <v>0</v>
      </c>
      <c r="M3" s="36">
        <f>F3</f>
        <v>0</v>
      </c>
      <c r="N3" s="36">
        <f>G3</f>
        <v>10000</v>
      </c>
      <c r="O3" s="36">
        <f>H3</f>
        <v>0</v>
      </c>
      <c r="P3" s="46">
        <f>IF(I4=0,0,AVERAGEIF(I4:I6,"&lt;&gt;0"))+I3</f>
        <v>42289.050799999997</v>
      </c>
      <c r="Q3" s="39">
        <f>IF(J4=0,0,AVERAGEIF(J4:J6,"&lt;&gt;0"))+J3</f>
        <v>28712.305199999999</v>
      </c>
      <c r="R3" s="39">
        <f>IF(K4=0,0,AVERAGEIF(K4:K6,"&lt;&gt;0"))+K3</f>
        <v>131403.1292</v>
      </c>
      <c r="S3" s="39">
        <f>IF(L4=0,0,AVERAGEIF(L4:L6,"&lt;&gt;0"))+L3</f>
        <v>22845.011999999999</v>
      </c>
      <c r="T3" s="39">
        <f>IF(M4=0,0,AVERAGEIF(M4:M6,"&lt;&gt;0"))+M3</f>
        <v>97581.974799999996</v>
      </c>
      <c r="U3" s="39">
        <f>IF(N4=0,0,AVERAGEIF(N4:N6,"&lt;&gt;0"))+N3</f>
        <v>10000</v>
      </c>
      <c r="V3" s="39">
        <f>IF(O4=0,0,AVERAGEIF(O4:O6,"&lt;&gt;0"))+O3</f>
        <v>10891</v>
      </c>
      <c r="W3" s="59">
        <f>SUM(P3:V3)</f>
        <v>343722.47199999995</v>
      </c>
    </row>
    <row r="4" spans="1:23" x14ac:dyDescent="0.25">
      <c r="A4" s="28">
        <v>2015</v>
      </c>
      <c r="B4" s="36">
        <v>28156</v>
      </c>
      <c r="C4" s="36">
        <v>42900</v>
      </c>
      <c r="D4" s="36">
        <v>146140</v>
      </c>
      <c r="E4" s="36">
        <v>10632</v>
      </c>
      <c r="F4" s="36">
        <v>145187</v>
      </c>
      <c r="G4" s="36"/>
      <c r="H4" s="36">
        <v>10891</v>
      </c>
      <c r="I4" s="46">
        <f>B4</f>
        <v>28156</v>
      </c>
      <c r="J4" s="36">
        <f>C4</f>
        <v>42900</v>
      </c>
      <c r="K4" s="36">
        <f>D4</f>
        <v>146140</v>
      </c>
      <c r="L4" s="36">
        <f>E4</f>
        <v>10632</v>
      </c>
      <c r="M4" s="36">
        <f>F4</f>
        <v>145187</v>
      </c>
      <c r="N4" s="36">
        <f>G4</f>
        <v>0</v>
      </c>
      <c r="O4" s="36">
        <f>H4</f>
        <v>10891</v>
      </c>
      <c r="P4" s="46"/>
      <c r="Q4" s="39"/>
      <c r="R4" s="39"/>
      <c r="S4" s="39"/>
      <c r="T4" s="39"/>
      <c r="U4" s="39"/>
      <c r="V4" s="39"/>
      <c r="W4" s="55"/>
    </row>
    <row r="5" spans="1:23" x14ac:dyDescent="0.25">
      <c r="A5" s="28">
        <v>2014</v>
      </c>
      <c r="B5" s="36">
        <v>56377</v>
      </c>
      <c r="C5" s="36">
        <v>14513</v>
      </c>
      <c r="D5" s="36">
        <v>116573</v>
      </c>
      <c r="E5" s="36">
        <v>35030</v>
      </c>
      <c r="F5" s="36">
        <v>49937</v>
      </c>
      <c r="G5" s="36">
        <v>1341</v>
      </c>
      <c r="H5" s="36"/>
      <c r="I5" s="46">
        <f>B5*Pristalsregulering!$C$7</f>
        <v>56422.101599999995</v>
      </c>
      <c r="J5" s="36">
        <f>C5*Pristalsregulering!$C$7</f>
        <v>14524.6104</v>
      </c>
      <c r="K5" s="36">
        <f>D5*Pristalsregulering!$C$7</f>
        <v>116666.25839999999</v>
      </c>
      <c r="L5" s="36">
        <f>E5*Pristalsregulering!$C$7</f>
        <v>35058.023999999998</v>
      </c>
      <c r="M5" s="36">
        <f>F5*Pristalsregulering!$C$7</f>
        <v>49976.949599999993</v>
      </c>
      <c r="N5" s="36">
        <f>G5*Pristalsregulering!$C$7</f>
        <v>1342.0727999999999</v>
      </c>
      <c r="O5" s="36">
        <f>H5*Pristalsregulering!$C$7</f>
        <v>0</v>
      </c>
      <c r="P5" s="46"/>
      <c r="Q5" s="36"/>
      <c r="R5" s="36"/>
      <c r="S5" s="36"/>
      <c r="T5" s="36"/>
      <c r="U5" s="36"/>
      <c r="V5" s="36"/>
      <c r="W5" s="46"/>
    </row>
    <row r="6" spans="1:23" x14ac:dyDescent="0.25">
      <c r="A6" s="28">
        <v>2013</v>
      </c>
      <c r="B6" s="36"/>
      <c r="C6" s="36"/>
      <c r="D6" s="36"/>
      <c r="E6" s="36"/>
      <c r="F6" s="36"/>
      <c r="G6" s="36"/>
      <c r="H6" s="36"/>
      <c r="I6" s="46">
        <f>B6*Pristalsregulering!$C$7*Pristalsregulering!$C$6</f>
        <v>0</v>
      </c>
      <c r="J6" s="36">
        <f>C6*Pristalsregulering!$C$7*Pristalsregulering!$C$6</f>
        <v>0</v>
      </c>
      <c r="K6" s="36">
        <f>D6*Pristalsregulering!$C$7*Pristalsregulering!$C$6</f>
        <v>0</v>
      </c>
      <c r="L6" s="36">
        <f>E6*Pristalsregulering!$C$7*Pristalsregulering!$C$6</f>
        <v>0</v>
      </c>
      <c r="M6" s="36">
        <f>F6*Pristalsregulering!$C$7*Pristalsregulering!$C$6</f>
        <v>0</v>
      </c>
      <c r="N6" s="36">
        <f>G6*Pristalsregulering!$C$7*Pristalsregulering!$C$6</f>
        <v>0</v>
      </c>
      <c r="O6" s="36">
        <f>H6*Pristalsregulering!$C$7*Pristalsregulering!$C$6</f>
        <v>0</v>
      </c>
      <c r="P6" s="46"/>
      <c r="Q6" s="36"/>
      <c r="R6" s="36"/>
      <c r="S6" s="36"/>
      <c r="T6" s="36"/>
      <c r="U6" s="36"/>
      <c r="V6" s="36"/>
      <c r="W6" s="46"/>
    </row>
    <row r="7" spans="1:23" hidden="1" x14ac:dyDescent="0.25"/>
    <row r="8" spans="1:23" hidden="1" x14ac:dyDescent="0.25"/>
    <row r="9" spans="1:23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30</v>
      </c>
      <c r="C1" s="78"/>
      <c r="D1" s="78"/>
      <c r="E1" s="79" t="s">
        <v>59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31</v>
      </c>
      <c r="C2" s="20" t="s">
        <v>32</v>
      </c>
      <c r="D2" s="20" t="s">
        <v>33</v>
      </c>
      <c r="E2" s="16" t="s">
        <v>31</v>
      </c>
      <c r="F2" s="20" t="s">
        <v>32</v>
      </c>
      <c r="G2" s="47" t="s">
        <v>33</v>
      </c>
      <c r="H2" s="6" t="s">
        <v>35</v>
      </c>
    </row>
    <row r="3" spans="1:8" x14ac:dyDescent="0.25">
      <c r="A3" s="31">
        <v>2015</v>
      </c>
      <c r="B3" s="42">
        <v>2471</v>
      </c>
      <c r="C3" s="43">
        <v>14201</v>
      </c>
      <c r="D3" s="43">
        <v>0</v>
      </c>
      <c r="E3" s="42">
        <f>B3</f>
        <v>2471</v>
      </c>
      <c r="F3" s="43">
        <f t="shared" ref="F3:G3" si="0">C3</f>
        <v>14201</v>
      </c>
      <c r="G3" s="44">
        <f t="shared" si="0"/>
        <v>0</v>
      </c>
      <c r="H3" s="45">
        <f>IF(E3=0,0,AVERAGEIF(E3:E5,"&lt;&gt;0"))+IF(F3=0,0,AVERAGEIF(F3:F5,"&lt;&gt;0"))+IF(G3=0,0,AVERAGEIF(G3:G5,"&lt;&gt;0"))</f>
        <v>39160.155769333331</v>
      </c>
    </row>
    <row r="4" spans="1:8" x14ac:dyDescent="0.25">
      <c r="A4" s="31">
        <v>2014</v>
      </c>
      <c r="B4" s="42">
        <v>11124</v>
      </c>
      <c r="C4" s="43">
        <v>39200</v>
      </c>
      <c r="D4" s="43">
        <v>0</v>
      </c>
      <c r="E4" s="42">
        <f>B4*Pristalsregulering!$C$7</f>
        <v>11132.8992</v>
      </c>
      <c r="F4" s="43">
        <f>C4*Pristalsregulering!$C$7</f>
        <v>39231.359999999993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12059</v>
      </c>
      <c r="C5" s="43">
        <v>37600</v>
      </c>
      <c r="D5" s="43">
        <v>0</v>
      </c>
      <c r="E5" s="42">
        <f>B5*Pristalsregulering!$C$7*Pristalsregulering!$C$6</f>
        <v>12249.676907999998</v>
      </c>
      <c r="F5" s="43">
        <f>C5*Pristalsregulering!$C$7*Pristalsregulering!$C$6</f>
        <v>38194.53119999999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73</v>
      </c>
      <c r="C1" s="80"/>
      <c r="D1" s="81"/>
      <c r="E1" s="82" t="s">
        <v>74</v>
      </c>
      <c r="F1" s="82"/>
      <c r="G1" s="82"/>
    </row>
    <row r="2" spans="1:7" s="22" customFormat="1" ht="15.75" thickTop="1" x14ac:dyDescent="0.25">
      <c r="A2" s="71" t="s">
        <v>13</v>
      </c>
      <c r="B2" s="23" t="s">
        <v>71</v>
      </c>
      <c r="C2" s="23" t="s">
        <v>1</v>
      </c>
      <c r="D2" s="28" t="s">
        <v>72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2333403.0848944127</v>
      </c>
      <c r="C3" s="39">
        <v>1046825.4416666663</v>
      </c>
      <c r="D3" s="41">
        <v>338461.44</v>
      </c>
      <c r="E3" s="36">
        <f>B3*Pristalsregulering!C2*Pristalsregulering!C3*Pristalsregulering!C4*Pristalsregulering!C5*Pristalsregulering!C6*Pristalsregulering!C7</f>
        <v>2540373.5236186315</v>
      </c>
      <c r="F3" s="36">
        <v>1071373.5418308889</v>
      </c>
      <c r="G3" s="36">
        <f>D3</f>
        <v>338461.44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46</v>
      </c>
      <c r="C1" s="78"/>
      <c r="D1" s="78"/>
      <c r="E1" s="78"/>
      <c r="F1" s="79" t="s">
        <v>60</v>
      </c>
      <c r="G1" s="80"/>
      <c r="H1" s="80"/>
      <c r="I1" s="80"/>
      <c r="J1" s="83" t="s">
        <v>35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47</v>
      </c>
      <c r="C2" s="7" t="s">
        <v>48</v>
      </c>
      <c r="D2" s="7" t="s">
        <v>49</v>
      </c>
      <c r="E2" s="52" t="s">
        <v>50</v>
      </c>
      <c r="F2" s="7" t="s">
        <v>47</v>
      </c>
      <c r="G2" s="7" t="s">
        <v>48</v>
      </c>
      <c r="H2" s="7" t="s">
        <v>49</v>
      </c>
      <c r="I2" s="52" t="s">
        <v>50</v>
      </c>
      <c r="J2" s="20" t="s">
        <v>51</v>
      </c>
      <c r="K2" s="20" t="s">
        <v>48</v>
      </c>
      <c r="L2" s="15" t="s">
        <v>77</v>
      </c>
      <c r="M2" s="6" t="s">
        <v>34</v>
      </c>
      <c r="N2" s="32"/>
    </row>
    <row r="3" spans="1:14" x14ac:dyDescent="0.25">
      <c r="A3" s="28">
        <v>2015</v>
      </c>
      <c r="B3" s="46">
        <v>0</v>
      </c>
      <c r="C3" s="39">
        <v>397806</v>
      </c>
      <c r="D3" s="39">
        <v>752</v>
      </c>
      <c r="E3" s="41">
        <v>0</v>
      </c>
      <c r="F3" s="39">
        <f>B3</f>
        <v>0</v>
      </c>
      <c r="G3" s="39">
        <f>C3</f>
        <v>397806</v>
      </c>
      <c r="H3" s="39">
        <f>D3</f>
        <v>752</v>
      </c>
      <c r="I3" s="41">
        <f>E3</f>
        <v>0</v>
      </c>
      <c r="J3" s="43">
        <f>AVERAGE(F3:F5)</f>
        <v>0</v>
      </c>
      <c r="K3" s="43">
        <f>G3</f>
        <v>397806</v>
      </c>
      <c r="L3" s="44">
        <f>AVERAGE(H3:H5)+AVERAGE(I3:I5)</f>
        <v>4032.8616706666667</v>
      </c>
      <c r="M3" s="45">
        <f>SUM(J3:L3)</f>
        <v>401838.86167066667</v>
      </c>
      <c r="N3" s="23"/>
    </row>
    <row r="4" spans="1:14" x14ac:dyDescent="0.25">
      <c r="A4" s="28">
        <v>2014</v>
      </c>
      <c r="B4" s="46">
        <v>0</v>
      </c>
      <c r="C4" s="39">
        <v>388212</v>
      </c>
      <c r="D4" s="39">
        <v>5754</v>
      </c>
      <c r="E4" s="41">
        <v>0</v>
      </c>
      <c r="F4" s="39">
        <f>IF(B4="","",B4*Pristalsregulering!$C$7)</f>
        <v>0</v>
      </c>
      <c r="G4" s="39">
        <f>IF(C4="","",C4*Pristalsregulering!$C$7)</f>
        <v>388522.56959999999</v>
      </c>
      <c r="H4" s="39">
        <f>IF(D4="","",D4*Pristalsregulering!$C$7)</f>
        <v>5758.6031999999996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100116</v>
      </c>
      <c r="D5" s="39">
        <v>5501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101699.03419199998</v>
      </c>
      <c r="H5" s="39">
        <f>IF(D5="","",D5*Pristalsregulering!$C$7*Pristalsregulering!$C$6)</f>
        <v>5587.9818119999991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36</v>
      </c>
      <c r="C1" s="68" t="s">
        <v>37</v>
      </c>
      <c r="D1" s="68" t="s">
        <v>38</v>
      </c>
      <c r="E1" s="68" t="s">
        <v>39</v>
      </c>
      <c r="F1" s="68" t="s">
        <v>40</v>
      </c>
      <c r="G1" s="68" t="s">
        <v>41</v>
      </c>
      <c r="H1" s="68" t="s">
        <v>42</v>
      </c>
      <c r="I1" s="68" t="s">
        <v>43</v>
      </c>
      <c r="J1" s="68" t="s">
        <v>44</v>
      </c>
      <c r="K1" s="68" t="s">
        <v>62</v>
      </c>
      <c r="L1" s="69" t="s">
        <v>45</v>
      </c>
      <c r="M1" s="14" t="s">
        <v>34</v>
      </c>
    </row>
    <row r="2" spans="1:13" ht="15.75" thickTop="1" x14ac:dyDescent="0.25">
      <c r="A2" s="31">
        <v>2015</v>
      </c>
      <c r="B2" s="43">
        <v>32523</v>
      </c>
      <c r="C2" s="43">
        <v>208326</v>
      </c>
      <c r="D2" s="43">
        <v>33133</v>
      </c>
      <c r="E2" s="43">
        <v>5342571</v>
      </c>
      <c r="F2" s="43">
        <v>117970</v>
      </c>
      <c r="G2" s="43">
        <v>9830393</v>
      </c>
      <c r="H2" s="43" t="s">
        <v>52</v>
      </c>
      <c r="I2" s="43">
        <v>0</v>
      </c>
      <c r="J2" s="43">
        <v>0</v>
      </c>
      <c r="K2" s="43"/>
      <c r="L2" s="44"/>
      <c r="M2" s="45">
        <f>SUM(B2:L2)</f>
        <v>15564916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52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52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63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55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56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2016-11-11T16:15:30Z</dcterms:modified>
</cp:coreProperties>
</file>