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R3" i="16" l="1"/>
  <c r="S3" i="16"/>
  <c r="T3" i="16"/>
  <c r="U3" i="16"/>
  <c r="V3" i="16"/>
  <c r="W3" i="16"/>
  <c r="X3" i="16"/>
  <c r="Y3" i="16"/>
  <c r="Z3" i="16"/>
  <c r="AA3" i="16"/>
  <c r="AB3" i="16"/>
  <c r="AC3" i="16"/>
  <c r="Q3" i="16"/>
  <c r="P3" i="16"/>
  <c r="F3" i="17" l="1"/>
  <c r="G3" i="17"/>
  <c r="Q4" i="16" l="1"/>
  <c r="R4" i="16"/>
  <c r="S4" i="16"/>
  <c r="T4" i="16"/>
  <c r="U4" i="16"/>
  <c r="V4" i="16"/>
  <c r="W4" i="16"/>
  <c r="X4" i="16"/>
  <c r="Y4" i="16"/>
  <c r="Z4" i="16"/>
  <c r="AA4" i="16"/>
  <c r="AO3" i="16" s="1"/>
  <c r="AB4" i="16"/>
  <c r="AC4" i="16"/>
  <c r="P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Q5" i="16"/>
  <c r="AE3" i="16" s="1"/>
  <c r="R5" i="16"/>
  <c r="T5" i="16"/>
  <c r="V5" i="16"/>
  <c r="Z5" i="16"/>
  <c r="AN3" i="16" s="1"/>
  <c r="AA5" i="16"/>
  <c r="AC5" i="16"/>
  <c r="Q6" i="16"/>
  <c r="U6" i="16"/>
  <c r="Y6" i="16"/>
  <c r="AM3" i="16" s="1"/>
  <c r="W5" i="16"/>
  <c r="R6" i="16"/>
  <c r="T6" i="16"/>
  <c r="V6" i="16"/>
  <c r="Z6" i="16"/>
  <c r="AA6" i="16"/>
  <c r="J3" i="24"/>
  <c r="M3" i="24" s="1"/>
  <c r="P5" i="16"/>
  <c r="AB6" i="16"/>
  <c r="AB5" i="16"/>
  <c r="X5" i="16"/>
  <c r="AL3" i="16" s="1"/>
  <c r="S5" i="16"/>
  <c r="P6" i="16"/>
  <c r="X6" i="16"/>
  <c r="S6" i="16"/>
  <c r="U5" i="16"/>
  <c r="AI3" i="16" s="1"/>
  <c r="W6" i="16"/>
  <c r="AC6" i="16"/>
  <c r="Y5" i="16"/>
  <c r="AK3" i="16" l="1"/>
  <c r="AQ3" i="16"/>
  <c r="AJ3" i="16"/>
  <c r="AH3" i="16"/>
  <c r="AF3" i="16"/>
  <c r="AG3" i="16"/>
  <c r="AP3" i="16"/>
  <c r="AD3" i="16"/>
  <c r="B9" i="12"/>
  <c r="B10" i="12" s="1"/>
  <c r="H3" i="17"/>
  <c r="B4" i="12" s="1"/>
  <c r="I2" i="15"/>
  <c r="K2" i="15" s="1"/>
  <c r="B2" i="12" s="1"/>
  <c r="AR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<sst xmlns="http://schemas.openxmlformats.org/spreadsheetml/2006/main" count="148" uniqueCount="89">
  <si>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</si>
  <si>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</si>
  <si>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</si>
  <si>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</si>
  <si>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</si>
  <si>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</si>
  <si>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</si>
  <si>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</si>
  <si>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</si>
  <si>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</si>
  <si>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</si>
  <si>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</si>
  <si>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</si>
  <si>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</si>
  <si>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</si>
  <si>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</si>
  <si>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</si>
  <si>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</si>
  <si>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</si>
  <si>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</si>
  <si>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</si>
  <si>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</si>
  <si>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</si>
  <si>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</si>
  <si>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</si>
  <si>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ADK (adgangskontrol)</t>
  </si>
  <si>
    <t>Blødt vand</t>
  </si>
  <si>
    <t>VVM procedure</t>
  </si>
  <si>
    <t>Sekundavand</t>
  </si>
  <si>
    <t>Overholdelse af udledningskrav Sølvbækken</t>
  </si>
  <si>
    <t>Skovrejsning</t>
  </si>
  <si>
    <t>Kompensationer til lodsejere 25M zone</t>
  </si>
  <si>
    <t>Pesticidforbud og anden rådighedsindskr. i BNBO</t>
  </si>
  <si>
    <t>UV-anlæg</t>
  </si>
  <si>
    <t>Tilbagestrømningssikring</t>
  </si>
  <si>
    <t>Teknisk vandsparerådgivning</t>
  </si>
  <si>
    <t>Sølvbækken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</si>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</sst>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174011304.52020398</v>
      </c>
      <c r="C2" t="s">
        <v>11</v>
      </c>
    </row>
    <row r="3" spans="1:3" s="2" customFormat="1" x14ac:dyDescent="0.25">
      <c r="A3" s="5" t="s">
        <v>8</v>
      </c>
      <c r="B3" s="37">
        <f>'Miljø- og servicemål'!AR3</f>
        <v>18803610.828910664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508737.22852666659</v>
      </c>
      <c r="C4" t="s">
        <v>11</v>
      </c>
    </row>
    <row r="5" spans="1:3" s="26" customFormat="1" x14ac:dyDescent="0.25">
      <c r="A5" s="3" t="s">
        <v>12</v>
      </c>
      <c r="B5" s="49">
        <f>SUM(B2:B4)</f>
        <v>193323652.57764131</v>
      </c>
      <c r="C5" s="64" t="s">
        <v>11</v>
      </c>
    </row>
    <row r="6" spans="1:3" x14ac:dyDescent="0.25">
      <c r="A6" s="48" t="s">
        <v>0</v>
      </c>
      <c r="B6" s="39">
        <f>Investeringer!E3</f>
        <v>66379580.571599625</v>
      </c>
      <c r="C6" s="23" t="s">
        <v>11</v>
      </c>
    </row>
    <row r="7" spans="1:3" x14ac:dyDescent="0.25">
      <c r="A7" s="4" t="s">
        <v>1</v>
      </c>
      <c r="B7" s="36">
        <f>Investeringer!F3</f>
        <v>29371669.482751109</v>
      </c>
      <c r="C7" t="s">
        <v>11</v>
      </c>
    </row>
    <row r="8" spans="1:3" x14ac:dyDescent="0.25">
      <c r="A8" s="4" t="s">
        <v>2</v>
      </c>
      <c r="B8" s="36">
        <f>Investeringer!G3</f>
        <v>5064036.2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13308814.142566666</v>
      </c>
      <c r="C9" t="s">
        <v>11</v>
      </c>
    </row>
    <row r="10" spans="1:3" s="22" customFormat="1" x14ac:dyDescent="0.25">
      <c r="A10" s="3" t="s">
        <v>61</v>
      </c>
      <c r="B10" s="49">
        <f>SUM(B6:B9)</f>
        <v>114124100.3969174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246427791</v>
      </c>
      <c r="C11" t="s">
        <v>11</v>
      </c>
    </row>
    <row r="12" spans="1:3" s="22" customFormat="1" x14ac:dyDescent="0.25">
      <c r="A12" s="3" t="s">
        <v>83</v>
      </c>
      <c r="B12" s="49">
        <f>SUM(B11:B11)</f>
        <v>246427791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72</v>
      </c>
      <c r="B14" s="38">
        <f>SUM(B5,B10,B12)</f>
        <v>553875543.97455871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65</v>
      </c>
      <c r="B16" s="38">
        <f>B14*Pristalsregulering!C8*Pristalsregulering!C9</f>
        <v>558778306.28217995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73</v>
      </c>
      <c r="D1" s="61" t="s">
        <v>74</v>
      </c>
      <c r="E1" s="61" t="s">
        <v>66</v>
      </c>
      <c r="F1" s="53" t="s">
        <v>75</v>
      </c>
      <c r="G1" s="53" t="s">
        <v>84</v>
      </c>
      <c r="H1" s="53" t="s">
        <v>76</v>
      </c>
      <c r="I1" s="53" t="s">
        <v>62</v>
      </c>
      <c r="J1" s="11" t="s">
        <v>77</v>
      </c>
      <c r="K1" s="11" t="s">
        <v>78</v>
      </c>
    </row>
    <row r="2" spans="1:11" s="23" customFormat="1" ht="15.75" thickTop="1" x14ac:dyDescent="0.25">
      <c r="A2" s="28">
        <v>2015</v>
      </c>
      <c r="B2" s="50">
        <v>168112821</v>
      </c>
      <c r="C2" s="50">
        <v>0</v>
      </c>
      <c r="D2" s="50">
        <f>B2+C2</f>
        <v>168112821</v>
      </c>
      <c r="E2" s="51">
        <f>D2</f>
        <v>168112821</v>
      </c>
      <c r="F2" s="50">
        <v>202360178.39162809</v>
      </c>
      <c r="G2" s="50">
        <v>0</v>
      </c>
      <c r="H2" s="50">
        <f>F2-G2</f>
        <v>202360178.39162809</v>
      </c>
      <c r="I2" s="50">
        <f>AVERAGEIF(E2:E4,"&lt;&gt;0")</f>
        <v>174011304.52020398</v>
      </c>
      <c r="J2" s="50">
        <v>166405800.17910233</v>
      </c>
      <c r="K2" s="40">
        <f>IF(H2&gt;I2,IF(I2&gt;J2,I2,J2),H2)</f>
        <v>174011304.52020398</v>
      </c>
    </row>
    <row r="3" spans="1:11" s="23" customFormat="1" x14ac:dyDescent="0.25">
      <c r="A3" s="28">
        <v>2014</v>
      </c>
      <c r="B3" s="50">
        <v>163371356</v>
      </c>
      <c r="C3" s="50"/>
      <c r="D3" s="50">
        <f t="shared" ref="D3:D4" si="0">B3+C3</f>
        <v>163371356</v>
      </c>
      <c r="E3" s="51">
        <f>D3*Pristalsregulering!C7</f>
        <v>163502053.08479998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187455001</v>
      </c>
      <c r="C4" s="50"/>
      <c r="D4" s="50">
        <f t="shared" si="0"/>
        <v>187455001</v>
      </c>
      <c r="E4" s="51">
        <f>D4*Pristalsregulering!$C$6*Pristalsregulering!$C$7</f>
        <v>190419039.47581196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KI9"/>
  <sheetViews>
    <sheetView workbookViewId="0"/>
  </sheetViews>
  <sheetFormatPr defaultColWidth="0" defaultRowHeight="15" zeroHeight="1" x14ac:dyDescent="0.25"/>
  <cols>
    <col min="1" max="1" width="12.28515625" customWidth="1"/>
    <col min="2" max="15" width="30.7109375" customWidth="1"/>
    <col min="16" max="16" width="30.7109375" style="56" customWidth="1"/>
    <col min="17" max="29" width="30.7109375" customWidth="1"/>
    <col min="30" max="30" width="30.7109375" style="56" customWidth="1"/>
    <col min="31" max="43" width="30.7109375" customWidth="1"/>
    <col min="44" max="44" width="30.7109375" style="56" customWidth="1"/>
    <col min="45" max="45" width="9.140625" hidden="1" customWidth="1"/>
    <col min="79" max="80" width="9.140625" hidden="1"/>
    <col min="82" max="82" width="9.140625" hidden="1"/>
    <col min="116" max="117" width="9.140625" hidden="1"/>
    <col min="131" max="136" width="9.140625" hidden="1"/>
    <col min="139" max="144" width="9.140625" hidden="1"/>
    <col min="150" max="151" width="9.140625" hidden="1"/>
    <col min="165" max="170" width="9.140625" hidden="1"/>
    <col min="173" max="181" width="9.140625" hidden="1"/>
    <col min="187" max="188" width="9.140625" hidden="1"/>
    <col min="202" max="207" width="9.140625" hidden="1"/>
    <col min="210" max="222" width="9.140625" hidden="1"/>
    <col min="225" max="256" width="9.140625" hidden="1"/>
    <col min="259" max="293" width="9.140625" hidden="1"/>
    <col min="296" max="16384" width="9.140625" hidden="1"/>
  </cols>
  <sheetData>
    <row r="1" spans="1:44" s="27" customFormat="1" ht="15.75" thickBot="1" x14ac:dyDescent="0.3">
      <c r="A1" s="9"/>
      <c r="B1" s="33" t="s">
        <v>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76" t="s">
        <v>87</v>
      </c>
      <c r="Q1" s="7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76" t="s">
        <v>88</v>
      </c>
      <c r="AE1" s="77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65"/>
    </row>
    <row r="2" spans="1:44" ht="30.75" thickTop="1" x14ac:dyDescent="0.25">
      <c r="A2" s="17" t="s">
        <v>13</v>
      </c>
      <c r="B2" s="34" t="s">
        <v>69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31</v>
      </c>
      <c r="L2" s="35" t="s">
        <v>32</v>
      </c>
      <c r="M2" s="35" t="s">
        <v>33</v>
      </c>
      <c r="N2" s="35" t="s">
        <v>34</v>
      </c>
      <c r="O2" s="35" t="s">
        <v>35</v>
      </c>
      <c r="P2" s="57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35" t="s">
        <v>29</v>
      </c>
      <c r="X2" s="35" t="s">
        <v>30</v>
      </c>
      <c r="Y2" s="35" t="s">
        <v>31</v>
      </c>
      <c r="Z2" s="35" t="s">
        <v>32</v>
      </c>
      <c r="AA2" s="35" t="s">
        <v>33</v>
      </c>
      <c r="AB2" s="35" t="s">
        <v>34</v>
      </c>
      <c r="AC2" s="35" t="s">
        <v>35</v>
      </c>
      <c r="AD2" s="58" t="s">
        <v>22</v>
      </c>
      <c r="AE2" s="35" t="s">
        <v>23</v>
      </c>
      <c r="AF2" s="35" t="s">
        <v>24</v>
      </c>
      <c r="AG2" s="35" t="s">
        <v>25</v>
      </c>
      <c r="AH2" s="35" t="s">
        <v>26</v>
      </c>
      <c r="AI2" s="35" t="s">
        <v>27</v>
      </c>
      <c r="AJ2" s="35" t="s">
        <v>28</v>
      </c>
      <c r="AK2" s="35" t="s">
        <v>36</v>
      </c>
      <c r="AL2" s="35" t="s">
        <v>30</v>
      </c>
      <c r="AM2" s="35" t="s">
        <v>31</v>
      </c>
      <c r="AN2" s="35" t="s">
        <v>32</v>
      </c>
      <c r="AO2" s="35" t="s">
        <v>33</v>
      </c>
      <c r="AP2" s="35" t="s">
        <v>34</v>
      </c>
      <c r="AQ2" s="35" t="s">
        <v>35</v>
      </c>
      <c r="AR2" s="54" t="s">
        <v>37</v>
      </c>
    </row>
    <row r="3" spans="1:44" s="22" customFormat="1" x14ac:dyDescent="0.25">
      <c r="A3" s="28">
        <v>2016</v>
      </c>
      <c r="B3" s="74"/>
      <c r="C3" s="75">
        <v>300000</v>
      </c>
      <c r="D3" s="75"/>
      <c r="E3" s="75"/>
      <c r="F3" s="75"/>
      <c r="G3" s="75"/>
      <c r="H3" s="75"/>
      <c r="I3" s="75"/>
      <c r="J3" s="75"/>
      <c r="K3" s="75"/>
      <c r="L3" s="75"/>
      <c r="M3" s="75">
        <v>310000</v>
      </c>
      <c r="N3" s="75"/>
      <c r="O3" s="75"/>
      <c r="P3" s="46">
        <f t="shared" ref="P3:Q3" si="0">B3</f>
        <v>0</v>
      </c>
      <c r="Q3" s="36">
        <f t="shared" si="0"/>
        <v>300000</v>
      </c>
      <c r="R3" s="36">
        <f>D3</f>
        <v>0</v>
      </c>
      <c r="S3" s="36">
        <f>E3</f>
        <v>0</v>
      </c>
      <c r="T3" s="36">
        <f>F3</f>
        <v>0</v>
      </c>
      <c r="U3" s="36">
        <f>G3</f>
        <v>0</v>
      </c>
      <c r="V3" s="36">
        <f>H3</f>
        <v>0</v>
      </c>
      <c r="W3" s="36">
        <f>I3</f>
        <v>0</v>
      </c>
      <c r="X3" s="36">
        <f>J3</f>
        <v>0</v>
      </c>
      <c r="Y3" s="36">
        <f>K3</f>
        <v>0</v>
      </c>
      <c r="Z3" s="36">
        <f>L3</f>
        <v>0</v>
      </c>
      <c r="AA3" s="36">
        <f>M3</f>
        <v>310000</v>
      </c>
      <c r="AB3" s="36">
        <f>N3</f>
        <v>0</v>
      </c>
      <c r="AC3" s="36">
        <f>O3</f>
        <v>0</v>
      </c>
      <c r="AD3" s="46">
        <f>IF(P4=0,0,AVERAGEIF(P4:P6,"&lt;&gt;0"))+P3</f>
        <v>1470712.0554533331</v>
      </c>
      <c r="AE3" s="39">
        <f>IF(Q4=0,0,AVERAGEIF(Q4:Q6,"&lt;&gt;0"))+Q3</f>
        <v>300000</v>
      </c>
      <c r="AF3" s="39">
        <f>IF(R4=0,0,AVERAGEIF(R4:R6,"&lt;&gt;0"))+R3</f>
        <v>1079081.802132</v>
      </c>
      <c r="AG3" s="39">
        <f>IF(S4=0,0,AVERAGEIF(S4:S6,"&lt;&gt;0"))+S3</f>
        <v>976443.90992133319</v>
      </c>
      <c r="AH3" s="39">
        <f>IF(T4=0,0,AVERAGEIF(T4:T6,"&lt;&gt;0"))+T3</f>
        <v>855066</v>
      </c>
      <c r="AI3" s="39">
        <f>IF(U4=0,0,AVERAGEIF(U4:U6,"&lt;&gt;0"))+U3</f>
        <v>1742470.6928973331</v>
      </c>
      <c r="AJ3" s="39">
        <f>IF(V4=0,0,AVERAGEIF(V4:V6,"&lt;&gt;0"))+V3</f>
        <v>483317.80914799991</v>
      </c>
      <c r="AK3" s="39">
        <f>IF(W4=0,0,AVERAGEIF(W4:W6,"&lt;&gt;0"))+W3</f>
        <v>86297.219358666669</v>
      </c>
      <c r="AL3" s="39">
        <f>IF(X4=0,0,AVERAGEIF(X4:X6,"&lt;&gt;0"))+X3</f>
        <v>10237640.6116</v>
      </c>
      <c r="AM3" s="39">
        <f>IF(Y4=0,0,AVERAGEIF(Y4:Y6,"&lt;&gt;0"))+Y3</f>
        <v>6974.6048000000001</v>
      </c>
      <c r="AN3" s="39">
        <f>IF(Z4=0,0,AVERAGEIF(Z4:Z6,"&lt;&gt;0"))+Z3</f>
        <v>168197.12359999999</v>
      </c>
      <c r="AO3" s="39">
        <f>IF(AA4=0,0,AVERAGEIF(AA4:AA6,"&lt;&gt;0"))+AA3</f>
        <v>310000</v>
      </c>
      <c r="AP3" s="39">
        <f>IF(AB4=0,0,AVERAGEIF(AB4:AB6,"&lt;&gt;0"))+AB3</f>
        <v>397633</v>
      </c>
      <c r="AQ3" s="39">
        <f>IF(AC4=0,0,AVERAGEIF(AC4:AC6,"&lt;&gt;0"))+AC3</f>
        <v>689776</v>
      </c>
      <c r="AR3" s="59">
        <f>SUM(AD3:AQ3)</f>
        <v>18803610.828910664</v>
      </c>
    </row>
    <row r="4" spans="1:44" x14ac:dyDescent="0.25">
      <c r="A4" s="28">
        <v>2015</v>
      </c>
      <c r="B4" s="36">
        <v>2268277</v>
      </c>
      <c r="C4" s="36"/>
      <c r="D4" s="36">
        <v>995877</v>
      </c>
      <c r="E4" s="36">
        <v>2099575</v>
      </c>
      <c r="F4" s="36">
        <v>855066</v>
      </c>
      <c r="G4" s="36">
        <v>1785331</v>
      </c>
      <c r="H4" s="36">
        <v>279177</v>
      </c>
      <c r="I4" s="36">
        <v>105878</v>
      </c>
      <c r="J4" s="36">
        <v>13439378</v>
      </c>
      <c r="K4" s="36">
        <v>12436</v>
      </c>
      <c r="L4" s="36">
        <v>817</v>
      </c>
      <c r="M4" s="36"/>
      <c r="N4" s="36">
        <v>397633</v>
      </c>
      <c r="O4" s="36">
        <v>689776</v>
      </c>
      <c r="P4" s="46">
        <f>B4</f>
        <v>2268277</v>
      </c>
      <c r="Q4" s="36">
        <f>C4</f>
        <v>0</v>
      </c>
      <c r="R4" s="36">
        <f>D4</f>
        <v>995877</v>
      </c>
      <c r="S4" s="36">
        <f>E4</f>
        <v>2099575</v>
      </c>
      <c r="T4" s="36">
        <f>F4</f>
        <v>855066</v>
      </c>
      <c r="U4" s="36">
        <f>G4</f>
        <v>1785331</v>
      </c>
      <c r="V4" s="36">
        <f>H4</f>
        <v>279177</v>
      </c>
      <c r="W4" s="36">
        <f>I4</f>
        <v>105878</v>
      </c>
      <c r="X4" s="36">
        <f>J4</f>
        <v>13439378</v>
      </c>
      <c r="Y4" s="36">
        <f>K4</f>
        <v>12436</v>
      </c>
      <c r="Z4" s="36">
        <f>L4</f>
        <v>817</v>
      </c>
      <c r="AA4" s="36">
        <f>M4</f>
        <v>0</v>
      </c>
      <c r="AB4" s="36">
        <f>N4</f>
        <v>397633</v>
      </c>
      <c r="AC4" s="36">
        <f>O4</f>
        <v>689776</v>
      </c>
      <c r="AD4" s="46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55"/>
    </row>
    <row r="5" spans="1:44" x14ac:dyDescent="0.25">
      <c r="A5" s="28">
        <v>2014</v>
      </c>
      <c r="B5" s="36">
        <v>1110469</v>
      </c>
      <c r="C5" s="36"/>
      <c r="D5" s="36">
        <v>1729049</v>
      </c>
      <c r="E5" s="36">
        <v>653400</v>
      </c>
      <c r="F5" s="36"/>
      <c r="G5" s="36">
        <v>901382</v>
      </c>
      <c r="H5" s="36">
        <v>387238</v>
      </c>
      <c r="I5" s="36">
        <v>127087</v>
      </c>
      <c r="J5" s="36">
        <v>7030279</v>
      </c>
      <c r="K5" s="36">
        <v>1512</v>
      </c>
      <c r="L5" s="36">
        <v>335309</v>
      </c>
      <c r="M5" s="36"/>
      <c r="N5" s="36"/>
      <c r="O5" s="36"/>
      <c r="P5" s="46">
        <f>B5*Pristalsregulering!$C$7</f>
        <v>1111357.3751999999</v>
      </c>
      <c r="Q5" s="36">
        <f>C5*Pristalsregulering!$C$7</f>
        <v>0</v>
      </c>
      <c r="R5" s="36">
        <f>D5*Pristalsregulering!$C$7</f>
        <v>1730432.2392</v>
      </c>
      <c r="S5" s="36">
        <f>E5*Pristalsregulering!$C$7</f>
        <v>653922.72</v>
      </c>
      <c r="T5" s="36">
        <f>F5*Pristalsregulering!$C$7</f>
        <v>0</v>
      </c>
      <c r="U5" s="36">
        <f>G5*Pristalsregulering!$C$7</f>
        <v>902103.10559999989</v>
      </c>
      <c r="V5" s="36">
        <f>H5*Pristalsregulering!$C$7</f>
        <v>387547.79039999994</v>
      </c>
      <c r="W5" s="36">
        <f>I5*Pristalsregulering!$C$7</f>
        <v>127188.66959999999</v>
      </c>
      <c r="X5" s="36">
        <f>J5*Pristalsregulering!$C$7</f>
        <v>7035903.223199999</v>
      </c>
      <c r="Y5" s="36">
        <f>K5*Pristalsregulering!$C$7</f>
        <v>1513.2095999999999</v>
      </c>
      <c r="Z5" s="36">
        <f>L5*Pristalsregulering!$C$7</f>
        <v>335577.24719999998</v>
      </c>
      <c r="AA5" s="36">
        <f>M5*Pristalsregulering!$C$7</f>
        <v>0</v>
      </c>
      <c r="AB5" s="36">
        <f>N5*Pristalsregulering!$C$7</f>
        <v>0</v>
      </c>
      <c r="AC5" s="36">
        <f>O5*Pristalsregulering!$C$7</f>
        <v>0</v>
      </c>
      <c r="AD5" s="4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46"/>
    </row>
    <row r="6" spans="1:44" x14ac:dyDescent="0.25">
      <c r="A6" s="28">
        <v>2013</v>
      </c>
      <c r="B6" s="36">
        <v>1016430</v>
      </c>
      <c r="C6" s="36"/>
      <c r="D6" s="36">
        <v>502983</v>
      </c>
      <c r="E6" s="36">
        <v>173097</v>
      </c>
      <c r="F6" s="36"/>
      <c r="G6" s="36">
        <v>2500441</v>
      </c>
      <c r="H6" s="36">
        <v>771037</v>
      </c>
      <c r="I6" s="36">
        <v>25423</v>
      </c>
      <c r="J6" s="36"/>
      <c r="K6" s="36"/>
      <c r="L6" s="36"/>
      <c r="M6" s="36"/>
      <c r="N6" s="36"/>
      <c r="O6" s="36"/>
      <c r="P6" s="46">
        <f>B6*Pristalsregulering!$C$7*Pristalsregulering!$C$6</f>
        <v>1032501.7911599998</v>
      </c>
      <c r="Q6" s="36">
        <f>C6*Pristalsregulering!$C$7*Pristalsregulering!$C$6</f>
        <v>0</v>
      </c>
      <c r="R6" s="36">
        <f>D6*Pristalsregulering!$C$7*Pristalsregulering!$C$6</f>
        <v>510936.16719599994</v>
      </c>
      <c r="S6" s="36">
        <f>E6*Pristalsregulering!$C$7*Pristalsregulering!$C$6</f>
        <v>175834.00976399996</v>
      </c>
      <c r="T6" s="36">
        <f>F6*Pristalsregulering!$C$7*Pristalsregulering!$C$6</f>
        <v>0</v>
      </c>
      <c r="U6" s="36">
        <f>G6*Pristalsregulering!$C$7*Pristalsregulering!$C$6</f>
        <v>2539977.9730919995</v>
      </c>
      <c r="V6" s="36">
        <f>H6*Pristalsregulering!$C$7*Pristalsregulering!$C$6</f>
        <v>783228.63704399986</v>
      </c>
      <c r="W6" s="36">
        <f>I6*Pristalsregulering!$C$7*Pristalsregulering!$C$6</f>
        <v>25824.988475999995</v>
      </c>
      <c r="X6" s="36">
        <f>J6*Pristalsregulering!$C$7*Pristalsregulering!$C$6</f>
        <v>0</v>
      </c>
      <c r="Y6" s="36">
        <f>K6*Pristalsregulering!$C$7*Pristalsregulering!$C$6</f>
        <v>0</v>
      </c>
      <c r="Z6" s="36">
        <f>L6*Pristalsregulering!$C$7*Pristalsregulering!$C$6</f>
        <v>0</v>
      </c>
      <c r="AA6" s="36">
        <f>M6*Pristalsregulering!$C$7*Pristalsregulering!$C$6</f>
        <v>0</v>
      </c>
      <c r="AB6" s="36">
        <f>N6*Pristalsregulering!$C$7*Pristalsregulering!$C$6</f>
        <v>0</v>
      </c>
      <c r="AC6" s="36">
        <f>O6*Pristalsregulering!$C$7*Pristalsregulering!$C$6</f>
        <v>0</v>
      </c>
      <c r="AD6" s="4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46"/>
    </row>
    <row r="7" spans="1:44" hidden="1" x14ac:dyDescent="0.25"/>
    <row r="8" spans="1:44" hidden="1" x14ac:dyDescent="0.25"/>
    <row r="9" spans="1:44" hidden="1" x14ac:dyDescent="0.25"/>
  </sheetData>
  <sheetProtection password="C6BD" sheet="1" objects="1" scenarios="1"/>
  <mergeCells count="2">
    <mergeCell ref="P1:Q1"/>
    <mergeCell ref="AD1:A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38</v>
      </c>
      <c r="C1" s="77"/>
      <c r="D1" s="77"/>
      <c r="E1" s="78" t="s">
        <v>67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39</v>
      </c>
      <c r="C2" s="20" t="s">
        <v>40</v>
      </c>
      <c r="D2" s="20" t="s">
        <v>41</v>
      </c>
      <c r="E2" s="16" t="s">
        <v>39</v>
      </c>
      <c r="F2" s="20" t="s">
        <v>40</v>
      </c>
      <c r="G2" s="47" t="s">
        <v>41</v>
      </c>
      <c r="H2" s="6" t="s">
        <v>43</v>
      </c>
    </row>
    <row r="3" spans="1:8" x14ac:dyDescent="0.25">
      <c r="A3" s="31">
        <v>2015</v>
      </c>
      <c r="B3" s="42">
        <v>90529</v>
      </c>
      <c r="C3" s="43">
        <v>781459</v>
      </c>
      <c r="D3" s="43">
        <v>0</v>
      </c>
      <c r="E3" s="42">
        <f>B3</f>
        <v>90529</v>
      </c>
      <c r="F3" s="43">
        <f t="shared" ref="F3:G3" si="0">C3</f>
        <v>781459</v>
      </c>
      <c r="G3" s="44">
        <f t="shared" si="0"/>
        <v>0</v>
      </c>
      <c r="H3" s="45">
        <f>IF(E3=0,0,AVERAGEIF(E3:E5,"&lt;&gt;0"))+IF(F3=0,0,AVERAGEIF(F3:F5,"&lt;&gt;0"))+IF(G3=0,0,AVERAGEIF(G3:G5,"&lt;&gt;0"))</f>
        <v>508737.22852666659</v>
      </c>
    </row>
    <row r="4" spans="1:8" x14ac:dyDescent="0.25">
      <c r="A4" s="31">
        <v>2014</v>
      </c>
      <c r="B4" s="42">
        <v>11124</v>
      </c>
      <c r="C4" s="43">
        <v>313600</v>
      </c>
      <c r="D4" s="43">
        <v>0</v>
      </c>
      <c r="E4" s="42">
        <f>B4*Pristalsregulering!$C$7</f>
        <v>11132.8992</v>
      </c>
      <c r="F4" s="43">
        <f>C4*Pristalsregulering!$C$7</f>
        <v>313850.87999999995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23315</v>
      </c>
      <c r="C5" s="43">
        <v>300800</v>
      </c>
      <c r="D5" s="43">
        <v>0</v>
      </c>
      <c r="E5" s="42">
        <f>B5*Pristalsregulering!$C$7*Pristalsregulering!$C$6</f>
        <v>23683.656779999998</v>
      </c>
      <c r="F5" s="43">
        <f>C5*Pristalsregulering!$C$7*Pristalsregulering!$C$6</f>
        <v>305556.24959999992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81</v>
      </c>
      <c r="C1" s="79"/>
      <c r="D1" s="80"/>
      <c r="E1" s="81" t="s">
        <v>82</v>
      </c>
      <c r="F1" s="81"/>
      <c r="G1" s="81"/>
    </row>
    <row r="2" spans="1:7" s="22" customFormat="1" ht="15.75" thickTop="1" x14ac:dyDescent="0.25">
      <c r="A2" s="71" t="s">
        <v>13</v>
      </c>
      <c r="B2" s="23" t="s">
        <v>79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60971473.934720621</v>
      </c>
      <c r="C3" s="39">
        <v>28588272.850333314</v>
      </c>
      <c r="D3" s="41">
        <v>5064036.2</v>
      </c>
      <c r="E3" s="36">
        <f>B3*Pristalsregulering!C2*Pristalsregulering!C3*Pristalsregulering!C4*Pristalsregulering!C5*Pristalsregulering!C6*Pristalsregulering!C7</f>
        <v>66379580.571599625</v>
      </c>
      <c r="F3" s="36">
        <v>29371669.482751109</v>
      </c>
      <c r="G3" s="36">
        <f>D3</f>
        <v>5064036.2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54</v>
      </c>
      <c r="C1" s="77"/>
      <c r="D1" s="77"/>
      <c r="E1" s="77"/>
      <c r="F1" s="78" t="s">
        <v>68</v>
      </c>
      <c r="G1" s="79"/>
      <c r="H1" s="79"/>
      <c r="I1" s="79"/>
      <c r="J1" s="82" t="s">
        <v>43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55</v>
      </c>
      <c r="C2" s="7" t="s">
        <v>56</v>
      </c>
      <c r="D2" s="7" t="s">
        <v>57</v>
      </c>
      <c r="E2" s="52" t="s">
        <v>58</v>
      </c>
      <c r="F2" s="7" t="s">
        <v>55</v>
      </c>
      <c r="G2" s="7" t="s">
        <v>56</v>
      </c>
      <c r="H2" s="7" t="s">
        <v>57</v>
      </c>
      <c r="I2" s="52" t="s">
        <v>58</v>
      </c>
      <c r="J2" s="20" t="s">
        <v>59</v>
      </c>
      <c r="K2" s="20" t="s">
        <v>56</v>
      </c>
      <c r="L2" s="15" t="s">
        <v>85</v>
      </c>
      <c r="M2" s="6" t="s">
        <v>42</v>
      </c>
      <c r="N2" s="32"/>
    </row>
    <row r="3" spans="1:14" x14ac:dyDescent="0.25">
      <c r="A3" s="28">
        <v>2015</v>
      </c>
      <c r="B3" s="46">
        <v>0</v>
      </c>
      <c r="C3" s="39">
        <v>13305551</v>
      </c>
      <c r="D3" s="39">
        <v>341</v>
      </c>
      <c r="E3" s="41">
        <v>0</v>
      </c>
      <c r="F3" s="39">
        <f>B3</f>
        <v>0</v>
      </c>
      <c r="G3" s="39">
        <f>C3</f>
        <v>13305551</v>
      </c>
      <c r="H3" s="39">
        <f>D3</f>
        <v>341</v>
      </c>
      <c r="I3" s="41">
        <f>E3</f>
        <v>0</v>
      </c>
      <c r="J3" s="43">
        <f>AVERAGE(F3:F5)</f>
        <v>0</v>
      </c>
      <c r="K3" s="43">
        <f>G3</f>
        <v>13305551</v>
      </c>
      <c r="L3" s="44">
        <f>AVERAGE(H3:H5)+AVERAGE(I3:I5)</f>
        <v>3263.1425666666669</v>
      </c>
      <c r="M3" s="45">
        <f>SUM(J3:L3)</f>
        <v>13308814.142566666</v>
      </c>
      <c r="N3" s="23"/>
    </row>
    <row r="4" spans="1:14" x14ac:dyDescent="0.25">
      <c r="A4" s="28">
        <v>2014</v>
      </c>
      <c r="B4" s="46">
        <v>0</v>
      </c>
      <c r="C4" s="39">
        <v>7775777</v>
      </c>
      <c r="D4" s="39">
        <v>8299</v>
      </c>
      <c r="E4" s="41">
        <v>0</v>
      </c>
      <c r="F4" s="39">
        <f>IF(B4="","",B4*Pristalsregulering!$C$7)</f>
        <v>0</v>
      </c>
      <c r="G4" s="39">
        <f>IF(C4="","",C4*Pristalsregulering!$C$7)</f>
        <v>7781997.6215999993</v>
      </c>
      <c r="H4" s="39">
        <f>IF(D4="","",D4*Pristalsregulering!$C$7)</f>
        <v>8305.6391999999996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6943147</v>
      </c>
      <c r="D5" s="39">
        <v>1125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7052932.0403639982</v>
      </c>
      <c r="H5" s="39">
        <f>IF(D5="","",D5*Pristalsregulering!$C$7*Pristalsregulering!$C$6)</f>
        <v>1142.7884999999997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44</v>
      </c>
      <c r="C1" s="68" t="s">
        <v>45</v>
      </c>
      <c r="D1" s="68" t="s">
        <v>46</v>
      </c>
      <c r="E1" s="68" t="s">
        <v>47</v>
      </c>
      <c r="F1" s="68" t="s">
        <v>48</v>
      </c>
      <c r="G1" s="68" t="s">
        <v>49</v>
      </c>
      <c r="H1" s="68" t="s">
        <v>50</v>
      </c>
      <c r="I1" s="68" t="s">
        <v>51</v>
      </c>
      <c r="J1" s="68" t="s">
        <v>52</v>
      </c>
      <c r="K1" s="68" t="s">
        <v>70</v>
      </c>
      <c r="L1" s="69" t="s">
        <v>53</v>
      </c>
      <c r="M1" s="14" t="s">
        <v>42</v>
      </c>
    </row>
    <row r="2" spans="1:13" ht="15.75" thickTop="1" x14ac:dyDescent="0.25">
      <c r="A2" s="31">
        <v>2015</v>
      </c>
      <c r="B2" s="43">
        <v>32523</v>
      </c>
      <c r="C2" s="43">
        <v>38009460</v>
      </c>
      <c r="D2" s="43">
        <v>2203662</v>
      </c>
      <c r="E2" s="43">
        <v>0</v>
      </c>
      <c r="F2" s="43">
        <v>632184</v>
      </c>
      <c r="G2" s="43">
        <v>205549962</v>
      </c>
      <c r="H2" s="43" t="s">
        <v>60</v>
      </c>
      <c r="I2" s="43">
        <v>0</v>
      </c>
      <c r="J2" s="43">
        <v>0</v>
      </c>
      <c r="K2" s="43"/>
      <c r="L2" s="44"/>
      <c r="M2" s="45">
        <f>SUM(B2:L2)</f>
        <v>246427791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60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60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71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63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64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2016-11-11T16:15:38Z</dcterms:modified>
</cp:coreProperties>
</file>