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215" yWindow="150" windowWidth="20145" windowHeight="10140"/>
  </bookViews>
  <sheets>
    <sheet name="1. Forside" sheetId="1" r:id="rId1"/>
    <sheet name="Fane 2.1. Økonomisk ramme 2017" sheetId="2" r:id="rId2"/>
    <sheet name="Fane 2.2. Økonomisk ramme 2018" sheetId="4" r:id="rId3"/>
    <sheet name="Fane 3. Grundlag" sheetId="7" r:id="rId4"/>
    <sheet name="Fane 4. Individuelt eff.krav" sheetId="8" r:id="rId5"/>
    <sheet name="Fane 5. Generelt eff.krav" sheetId="9" r:id="rId6"/>
    <sheet name="Fane 6. Hist. over el. underdæk" sheetId="10" r:id="rId7"/>
    <sheet name="Fane 7. Gen. inv. i 2015" sheetId="11" r:id="rId8"/>
    <sheet name="Fane 8. Korrektion af PL2015" sheetId="12" r:id="rId9"/>
    <sheet name="Fane 9. Kontrol af PL2015" sheetId="13" r:id="rId10"/>
  </sheets>
  <calcPr calcId="145621"/>
</workbook>
</file>

<file path=xl/calcChain.xml><?xml version="1.0" encoding="utf-8"?>
<calcChain xmlns="http://schemas.openxmlformats.org/spreadsheetml/2006/main">
  <c r="G13" i="9" l="1"/>
  <c r="E18" i="4" l="1"/>
  <c r="G10" i="9"/>
  <c r="G30" i="13"/>
  <c r="G36" i="13"/>
  <c r="F71" i="11" l="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10" i="2" l="1"/>
  <c r="E12" i="4" s="1"/>
  <c r="E35" i="13" l="1"/>
  <c r="G35" i="13" s="1"/>
  <c r="E27" i="13"/>
  <c r="E19" i="13"/>
  <c r="E15" i="13"/>
  <c r="G11" i="12"/>
  <c r="E17" i="2" s="1"/>
  <c r="G23" i="12"/>
  <c r="G17" i="12"/>
  <c r="E18" i="2" s="1"/>
  <c r="F11" i="11"/>
  <c r="F12" i="11"/>
  <c r="F13" i="11"/>
  <c r="F14" i="11"/>
  <c r="F72" i="11"/>
  <c r="F10" i="11"/>
  <c r="F73" i="11" s="1"/>
  <c r="G29" i="12" s="1"/>
  <c r="E15" i="2"/>
  <c r="G15" i="2" s="1"/>
  <c r="G12" i="9"/>
  <c r="G14" i="9" s="1"/>
  <c r="G9" i="9"/>
  <c r="G11" i="9" s="1"/>
  <c r="G12" i="7"/>
  <c r="G18" i="4"/>
  <c r="E23" i="2"/>
  <c r="G23" i="2" s="1"/>
  <c r="E19" i="2"/>
  <c r="E11" i="4" l="1"/>
  <c r="E15" i="4"/>
  <c r="E10" i="4"/>
  <c r="E9" i="2"/>
  <c r="G9" i="8"/>
  <c r="G11" i="8" s="1"/>
  <c r="E11" i="2" s="1"/>
  <c r="E28" i="13"/>
  <c r="G28" i="13" s="1"/>
  <c r="G30" i="12"/>
  <c r="E20" i="2" s="1"/>
  <c r="E21" i="2" s="1"/>
  <c r="G21" i="2" s="1"/>
  <c r="G15" i="9"/>
  <c r="E12" i="2" s="1"/>
  <c r="E9" i="4" l="1"/>
  <c r="E13" i="2"/>
  <c r="G13" i="2" s="1"/>
  <c r="G24" i="2" s="1"/>
  <c r="E13" i="4" l="1"/>
  <c r="E14" i="4"/>
  <c r="E16" i="4" l="1"/>
  <c r="G16" i="4" s="1"/>
  <c r="G19" i="4" s="1"/>
</calcChain>
</file>

<file path=xl/sharedStrings.xml><?xml version="1.0" encoding="utf-8"?>
<sst xmlns="http://schemas.openxmlformats.org/spreadsheetml/2006/main" count="352" uniqueCount="143">
  <si>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</si>
  <si>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</si>
  <si>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</si>
  <si>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</si>
  <si>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</si>
  <si>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</si>
  <si>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</si>
  <si>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</si>
  <si>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</si>
  <si>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</si>
  <si>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Fane 2.2: Samlet økonomisk ramme for 2018</t>
  </si>
  <si>
    <t>Bilag A</t>
  </si>
  <si>
    <t>Indholdsfortegnelse</t>
  </si>
  <si>
    <t>Fane 2.1</t>
  </si>
  <si>
    <t>Fane 2.2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</si>
  <si>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</si>
  <si>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</si>
  <si>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</si>
  <si>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</si>
  <si>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</si>
  <si>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</si>
  <si>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</si>
  <si>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2018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</si>
  <si>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</si>
  <si>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</si>
  <si>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</si>
  <si>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</si>
  <si>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</si>
  <si>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</si>
  <si>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</si>
  <si>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</si>
  <si>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</si>
  <si>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</si>
  <si>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</si>
  <si>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</si>
  <si>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</si>
  <si>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</si>
  <si>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</si>
  <si>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</si>
  <si>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</si>
  <si>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</si>
  <si>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</si>
  <si>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</si>
  <si>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</si>
  <si>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</si>
  <si>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</si>
  <si>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</si>
  <si>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</si>
  <si>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</si>
  <si>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</si>
  <si>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</si>
  <si>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</si>
  <si>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</si>
  <si>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</si>
  <si>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</si>
  <si>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</si>
  <si>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</si>
  <si>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</si>
  <si>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</si>
  <si>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</si>
  <si>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</si>
  <si>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</si>
  <si>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</si>
  <si>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</si>
  <si>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</si>
  <si>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</si>
  <si>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</si>
  <si>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</si>
  <si>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</si>
  <si>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</si>
  <si>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</si>
  <si>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</si>
  <si>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</si>
  <si>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</si>
  <si>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</si>
  <si>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</si>
  <si>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</si>
  <si>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</si>
  <si>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</si>
  <si>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</si>
  <si>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</si>
  <si>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</si>
  <si>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</si>
  <si>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</si>
  <si>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</si>
  <si>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</si>
  <si>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</si>
  <si>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</si>
  <si>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</si>
  <si>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</si>
  <si>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</si>
  <si>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</si>
  <si>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</si>
  <si>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</si>
  <si>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</si>
  <si>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</si>
  <si>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</si>
  <si>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</si>
  <si>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</si>
  <si>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</si>
  <si>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</si>
  <si>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</si>
  <si>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</si>
  <si>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</si>
  <si>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</si>
  <si>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</si>
  <si>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</si>
  <si>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</si>
  <si>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</si>
  <si>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</si>
  <si>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- heraf driftomkostninger</t>
  </si>
  <si>
    <t>- heraf anlægsomkostninger inkl. finansielle omkostninger</t>
  </si>
  <si>
    <t>Til økonomisk ramme for 2017-2018</t>
  </si>
  <si>
    <t>Ø 50mm &lt; Ledningsnet ≤ Ø110 mm</t>
  </si>
  <si>
    <t>Stik på ledningsnet, Konstruktioner</t>
  </si>
  <si>
    <t>Stik på ledningsnet, Mek./EL</t>
  </si>
  <si>
    <t>Skelbrønd, Konstruktioner</t>
  </si>
  <si>
    <t>Skelbrønd, Mek./EL</t>
  </si>
  <si>
    <t>Ledningsnet ≤ Ø50 mm</t>
  </si>
  <si>
    <t>Ø110 mm &lt; Ledningsnet ≤ Ø 250 mm</t>
  </si>
  <si>
    <t>Ventiler på ledningsnet ≤ Ø50 mm</t>
  </si>
  <si>
    <t>Ventiler på Ø 50mm &lt; Ledningsnet ≤ Ø110 mm</t>
  </si>
  <si>
    <t>Ventiler på Ø110 mm &lt; Ledningsnet ≤ Ø 250 mm</t>
  </si>
  <si>
    <t>Pumpestation (inkl. evt. hydrofor)/trykforøger, Mek./EL</t>
  </si>
  <si>
    <t xml:space="preserve">Afregningsmålere, mekaniske </t>
  </si>
  <si>
    <t>SRO-brønd/kvarterbrønd/sektionsbrønd, Konstruktioner</t>
  </si>
  <si>
    <t>SRO-brønd/kvarterbrønd/sektionsbrønd, Mek./EL</t>
  </si>
  <si>
    <t>SRO-brønd/kvarterbrønd/sektionsbrønd, SRO</t>
  </si>
  <si>
    <t>Boring (inkl. etablering, forerør, filter og prøvepumpning)</t>
  </si>
  <si>
    <t>SRO anlæg</t>
  </si>
  <si>
    <t>Elanlæg - vandværk</t>
  </si>
  <si>
    <t>Beluftningsanlæg, bundbeluftbning, Mek./EL</t>
  </si>
  <si>
    <t>SRO-anlæg, vandværk</t>
  </si>
  <si>
    <t>Måtter</t>
  </si>
  <si>
    <t>Afspærringsmateriel</t>
  </si>
  <si>
    <t>AQUIS ledningsmodel</t>
  </si>
  <si>
    <t>Køretøjer, små lastvogne (&lt; 3.500 kg.)</t>
  </si>
  <si>
    <t>IT-hardware</t>
  </si>
  <si>
    <t>DanVandGraf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</si>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</sst>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1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>
      <alignment horizontal="center" vertical="center"/>
    </xf>
    <xf numFmtId="0" fontId="16" fillId="8" borderId="7" xfId="3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3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5" borderId="7" xfId="3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6" fillId="6" borderId="7" xfId="3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6" fillId="7" borderId="7" xfId="3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3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3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10" borderId="11" xfId="0" quotePrefix="1" applyFont="1" applyFill="1" applyBorder="1" applyAlignment="1">
      <alignment horizontal="left"/>
    </xf>
    <xf numFmtId="0" fontId="8" fillId="10" borderId="3" xfId="0" quotePrefix="1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4">
    <cellStyle name="Komma" xfId="1" builtinId="3"/>
    <cellStyle name="Link" xfId="3" builtinId="8"/>
    <cellStyle name="Normal" xfId="0" builtinId="0"/>
    <cellStyle name="Normal 12" xfId="2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5" t="s">
        <v>11</v>
      </c>
      <c r="E6" s="45"/>
      <c r="F6" s="45"/>
      <c r="G6" s="45"/>
      <c r="H6" s="4"/>
      <c r="I6" s="1"/>
    </row>
    <row r="7" spans="1:9" ht="15" customHeight="1" x14ac:dyDescent="0.25">
      <c r="A7" s="1"/>
      <c r="B7" s="1"/>
      <c r="C7" s="4"/>
      <c r="D7" s="45"/>
      <c r="E7" s="45"/>
      <c r="F7" s="45"/>
      <c r="G7" s="45"/>
      <c r="H7" s="4"/>
      <c r="I7" s="1"/>
    </row>
    <row r="8" spans="1:9" ht="15.75" x14ac:dyDescent="0.25">
      <c r="A8" s="1"/>
      <c r="B8" s="1"/>
      <c r="C8" s="5"/>
      <c r="D8" s="53" t="s">
        <v>112</v>
      </c>
      <c r="E8" s="53"/>
      <c r="F8" s="53"/>
      <c r="G8" s="53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2" t="s">
        <v>12</v>
      </c>
      <c r="E11" s="52"/>
      <c r="F11" s="52"/>
      <c r="G11" s="52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3" t="s">
        <v>23</v>
      </c>
      <c r="E13" s="64"/>
      <c r="F13" s="64"/>
      <c r="G13" s="65"/>
      <c r="H13" s="1"/>
      <c r="I13" s="1"/>
    </row>
    <row r="14" spans="1:9" x14ac:dyDescent="0.25">
      <c r="A14" s="1"/>
      <c r="B14" s="1"/>
      <c r="C14" s="3" t="s">
        <v>14</v>
      </c>
      <c r="D14" s="66" t="s">
        <v>22</v>
      </c>
      <c r="E14" s="67"/>
      <c r="F14" s="67"/>
      <c r="G14" s="68"/>
      <c r="H14" s="1"/>
      <c r="I14" s="1"/>
    </row>
    <row r="15" spans="1:9" x14ac:dyDescent="0.25">
      <c r="A15" s="1"/>
      <c r="B15" s="1"/>
      <c r="C15" s="3" t="s">
        <v>15</v>
      </c>
      <c r="D15" s="54" t="s">
        <v>24</v>
      </c>
      <c r="E15" s="55"/>
      <c r="F15" s="55"/>
      <c r="G15" s="56"/>
      <c r="H15" s="1"/>
      <c r="I15" s="1"/>
    </row>
    <row r="16" spans="1:9" x14ac:dyDescent="0.25">
      <c r="A16" s="1"/>
      <c r="B16" s="1"/>
      <c r="C16" s="3" t="s">
        <v>16</v>
      </c>
      <c r="D16" s="57" t="s">
        <v>25</v>
      </c>
      <c r="E16" s="58"/>
      <c r="F16" s="58"/>
      <c r="G16" s="59"/>
      <c r="H16" s="1"/>
      <c r="I16" s="1"/>
    </row>
    <row r="17" spans="1:9" x14ac:dyDescent="0.25">
      <c r="A17" s="1"/>
      <c r="B17" s="1"/>
      <c r="C17" s="3" t="s">
        <v>17</v>
      </c>
      <c r="D17" s="57" t="s">
        <v>26</v>
      </c>
      <c r="E17" s="58"/>
      <c r="F17" s="58"/>
      <c r="G17" s="59"/>
      <c r="H17" s="1"/>
      <c r="I17" s="1"/>
    </row>
    <row r="18" spans="1:9" x14ac:dyDescent="0.25">
      <c r="A18" s="1"/>
      <c r="B18" s="1"/>
      <c r="C18" s="3" t="s">
        <v>18</v>
      </c>
      <c r="D18" s="60" t="s">
        <v>32</v>
      </c>
      <c r="E18" s="61"/>
      <c r="F18" s="61"/>
      <c r="G18" s="62"/>
      <c r="H18" s="1"/>
      <c r="I18" s="1"/>
    </row>
    <row r="19" spans="1:9" x14ac:dyDescent="0.25">
      <c r="A19" s="1"/>
      <c r="B19" s="1"/>
      <c r="C19" s="3" t="s">
        <v>19</v>
      </c>
      <c r="D19" s="46" t="s">
        <v>5</v>
      </c>
      <c r="E19" s="47"/>
      <c r="F19" s="47"/>
      <c r="G19" s="48"/>
      <c r="H19" s="1"/>
      <c r="I19" s="1"/>
    </row>
    <row r="20" spans="1:9" x14ac:dyDescent="0.25">
      <c r="A20" s="1"/>
      <c r="B20" s="1"/>
      <c r="C20" s="3" t="s">
        <v>20</v>
      </c>
      <c r="D20" s="46" t="s">
        <v>28</v>
      </c>
      <c r="E20" s="47"/>
      <c r="F20" s="47"/>
      <c r="G20" s="48"/>
      <c r="H20" s="1"/>
      <c r="I20" s="1"/>
    </row>
    <row r="21" spans="1:9" x14ac:dyDescent="0.25">
      <c r="A21" s="1"/>
      <c r="B21" s="1"/>
      <c r="C21" s="3" t="s">
        <v>21</v>
      </c>
      <c r="D21" s="49" t="s">
        <v>29</v>
      </c>
      <c r="E21" s="50"/>
      <c r="F21" s="50"/>
      <c r="G21" s="5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12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14:G14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3. Grundlag'!A1" display="Grundlag"/>
    <hyperlink ref="D16" location="'Fane 4. Individuelt eff.krav'!A1" display="Individuelt effektiviseringskrav"/>
    <hyperlink ref="D17" location="'Fane 5. Generelt eff.krav'!A1" display="Generelt effektiviseringskrav"/>
    <hyperlink ref="D18" location="'Fane 6. Hist. over el. underdæk'!A1" display="Historisk over- eller underdækning"/>
    <hyperlink ref="D19" location="'Fane 7. Gen. inv. i 2015'!A1" display="Gennemførte investeringer i 2015"/>
    <hyperlink ref="D20" location="'Fane 8. Korrektion af PL2015'!A1" display="Korrektion af prisloft 2015"/>
    <hyperlink ref="D21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8" t="s">
        <v>6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3" t="s">
        <v>47</v>
      </c>
      <c r="C9" s="84"/>
      <c r="D9" s="84"/>
      <c r="E9" s="84"/>
      <c r="F9" s="85"/>
      <c r="G9" s="35">
        <v>37495966</v>
      </c>
      <c r="H9" s="16" t="s">
        <v>4</v>
      </c>
      <c r="I9" s="1"/>
    </row>
    <row r="10" spans="1:9" x14ac:dyDescent="0.25">
      <c r="A10" s="1"/>
      <c r="B10" s="69" t="s">
        <v>48</v>
      </c>
      <c r="C10" s="70"/>
      <c r="D10" s="70"/>
      <c r="E10" s="70"/>
      <c r="F10" s="70"/>
      <c r="G10" s="70"/>
      <c r="H10" s="71"/>
      <c r="I10" s="1"/>
    </row>
    <row r="11" spans="1:9" x14ac:dyDescent="0.25">
      <c r="A11" s="1"/>
      <c r="B11" s="76" t="s">
        <v>49</v>
      </c>
      <c r="C11" s="77"/>
      <c r="D11" s="78"/>
      <c r="E11" s="37">
        <v>5141229</v>
      </c>
      <c r="F11" s="10" t="s">
        <v>4</v>
      </c>
      <c r="G11" s="19"/>
      <c r="H11" s="25"/>
      <c r="I11" s="1"/>
    </row>
    <row r="12" spans="1:9" x14ac:dyDescent="0.25">
      <c r="A12" s="1"/>
      <c r="B12" s="76" t="s">
        <v>50</v>
      </c>
      <c r="C12" s="77"/>
      <c r="D12" s="78"/>
      <c r="E12" s="37">
        <v>1620401</v>
      </c>
      <c r="F12" s="10" t="s">
        <v>4</v>
      </c>
      <c r="G12" s="13"/>
      <c r="H12" s="26"/>
      <c r="I12" s="1"/>
    </row>
    <row r="13" spans="1:9" x14ac:dyDescent="0.25">
      <c r="A13" s="1"/>
      <c r="B13" s="76" t="s">
        <v>51</v>
      </c>
      <c r="C13" s="77"/>
      <c r="D13" s="78"/>
      <c r="E13" s="37">
        <v>174483</v>
      </c>
      <c r="F13" s="10" t="s">
        <v>4</v>
      </c>
      <c r="G13" s="13"/>
      <c r="H13" s="26"/>
      <c r="I13" s="1"/>
    </row>
    <row r="14" spans="1:9" x14ac:dyDescent="0.25">
      <c r="A14" s="1"/>
      <c r="B14" s="76" t="s">
        <v>52</v>
      </c>
      <c r="C14" s="77"/>
      <c r="D14" s="78"/>
      <c r="E14" s="37">
        <v>670667</v>
      </c>
      <c r="F14" s="10" t="s">
        <v>4</v>
      </c>
      <c r="G14" s="13"/>
      <c r="H14" s="26"/>
      <c r="I14" s="1"/>
    </row>
    <row r="15" spans="1:9" x14ac:dyDescent="0.25">
      <c r="A15" s="1"/>
      <c r="B15" s="83" t="s">
        <v>53</v>
      </c>
      <c r="C15" s="84"/>
      <c r="D15" s="85"/>
      <c r="E15" s="32">
        <f>SUM(E11:E14)</f>
        <v>7606780</v>
      </c>
      <c r="F15" s="16" t="s">
        <v>4</v>
      </c>
      <c r="G15" s="13"/>
      <c r="H15" s="26"/>
      <c r="I15" s="1"/>
    </row>
    <row r="16" spans="1:9" x14ac:dyDescent="0.25">
      <c r="A16" s="1"/>
      <c r="B16" s="76" t="s">
        <v>54</v>
      </c>
      <c r="C16" s="77"/>
      <c r="D16" s="78"/>
      <c r="E16" s="37">
        <v>658797</v>
      </c>
      <c r="F16" s="10" t="s">
        <v>4</v>
      </c>
      <c r="G16" s="13"/>
      <c r="H16" s="26"/>
      <c r="I16" s="1"/>
    </row>
    <row r="17" spans="1:9" x14ac:dyDescent="0.25">
      <c r="A17" s="1"/>
      <c r="B17" s="76" t="s">
        <v>55</v>
      </c>
      <c r="C17" s="77"/>
      <c r="D17" s="78"/>
      <c r="E17" s="37">
        <v>0</v>
      </c>
      <c r="F17" s="10" t="s">
        <v>4</v>
      </c>
      <c r="G17" s="13"/>
      <c r="H17" s="26"/>
      <c r="I17" s="1"/>
    </row>
    <row r="18" spans="1:9" x14ac:dyDescent="0.25">
      <c r="A18" s="1"/>
      <c r="B18" s="76" t="s">
        <v>56</v>
      </c>
      <c r="C18" s="77"/>
      <c r="D18" s="78"/>
      <c r="E18" s="37">
        <v>0</v>
      </c>
      <c r="F18" s="10" t="s">
        <v>4</v>
      </c>
      <c r="G18" s="13"/>
      <c r="H18" s="26"/>
      <c r="I18" s="1"/>
    </row>
    <row r="19" spans="1:9" x14ac:dyDescent="0.25">
      <c r="A19" s="1"/>
      <c r="B19" s="83" t="s">
        <v>57</v>
      </c>
      <c r="C19" s="84"/>
      <c r="D19" s="85"/>
      <c r="E19" s="32">
        <f>SUM(E16:E18)</f>
        <v>658797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73" t="s">
        <v>58</v>
      </c>
      <c r="C20" s="74"/>
      <c r="D20" s="75"/>
      <c r="E20" s="37">
        <v>-5162392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73" t="s">
        <v>59</v>
      </c>
      <c r="C21" s="74"/>
      <c r="D21" s="75"/>
      <c r="E21" s="37">
        <v>-7606779</v>
      </c>
      <c r="F21" s="10" t="s">
        <v>4</v>
      </c>
      <c r="G21" s="13"/>
      <c r="H21" s="26"/>
      <c r="I21" s="1"/>
    </row>
    <row r="22" spans="1:9" x14ac:dyDescent="0.25">
      <c r="A22" s="1"/>
      <c r="B22" s="76" t="s">
        <v>60</v>
      </c>
      <c r="C22" s="77"/>
      <c r="D22" s="78"/>
      <c r="E22" s="37">
        <v>-126000</v>
      </c>
      <c r="F22" s="10" t="s">
        <v>4</v>
      </c>
      <c r="G22" s="13"/>
      <c r="H22" s="26"/>
      <c r="I22" s="1"/>
    </row>
    <row r="23" spans="1:9" x14ac:dyDescent="0.25">
      <c r="A23" s="1"/>
      <c r="B23" s="76" t="s">
        <v>61</v>
      </c>
      <c r="C23" s="77"/>
      <c r="D23" s="78"/>
      <c r="E23" s="37">
        <v>-8700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73" t="s">
        <v>62</v>
      </c>
      <c r="C24" s="74"/>
      <c r="D24" s="75"/>
      <c r="E24" s="37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73" t="s">
        <v>63</v>
      </c>
      <c r="C25" s="74"/>
      <c r="D25" s="75"/>
      <c r="E25" s="37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73" t="s">
        <v>64</v>
      </c>
      <c r="C26" s="74"/>
      <c r="D26" s="75"/>
      <c r="E26" s="37">
        <v>0</v>
      </c>
      <c r="F26" s="10" t="s">
        <v>4</v>
      </c>
      <c r="G26" s="13"/>
      <c r="H26" s="26"/>
      <c r="I26" s="1"/>
    </row>
    <row r="27" spans="1:9" x14ac:dyDescent="0.25">
      <c r="A27" s="1"/>
      <c r="B27" s="83" t="s">
        <v>65</v>
      </c>
      <c r="C27" s="84"/>
      <c r="D27" s="85"/>
      <c r="E27" s="32">
        <f>SUM(E20:E26)</f>
        <v>-12903871</v>
      </c>
      <c r="F27" s="16" t="s">
        <v>4</v>
      </c>
      <c r="G27" s="14"/>
      <c r="H27" s="27"/>
      <c r="I27" s="1"/>
    </row>
    <row r="28" spans="1:9" x14ac:dyDescent="0.25">
      <c r="A28" s="1"/>
      <c r="B28" s="83" t="s">
        <v>66</v>
      </c>
      <c r="C28" s="84"/>
      <c r="D28" s="85"/>
      <c r="E28" s="32">
        <f>E15+E19+E27</f>
        <v>-4638294</v>
      </c>
      <c r="F28" s="16" t="s">
        <v>4</v>
      </c>
      <c r="G28" s="31">
        <f>IF(E28&lt;0,0,-E28)</f>
        <v>0</v>
      </c>
      <c r="H28" s="16" t="s">
        <v>4</v>
      </c>
      <c r="I28" s="1"/>
    </row>
    <row r="29" spans="1:9" x14ac:dyDescent="0.25">
      <c r="A29" s="1"/>
      <c r="B29" s="69" t="s">
        <v>67</v>
      </c>
      <c r="C29" s="70"/>
      <c r="D29" s="70"/>
      <c r="E29" s="70"/>
      <c r="F29" s="70"/>
      <c r="G29" s="70"/>
      <c r="H29" s="71"/>
      <c r="I29" s="1"/>
    </row>
    <row r="30" spans="1:9" x14ac:dyDescent="0.25">
      <c r="A30" s="1"/>
      <c r="B30" s="83" t="s">
        <v>67</v>
      </c>
      <c r="C30" s="84"/>
      <c r="D30" s="85"/>
      <c r="E30" s="35">
        <v>0</v>
      </c>
      <c r="F30" s="16" t="s">
        <v>4</v>
      </c>
      <c r="G30" s="32">
        <f>-$E$30</f>
        <v>0</v>
      </c>
      <c r="H30" s="16" t="s">
        <v>4</v>
      </c>
      <c r="I30" s="1"/>
    </row>
    <row r="31" spans="1:9" x14ac:dyDescent="0.25">
      <c r="A31" s="1"/>
      <c r="B31" s="99" t="s">
        <v>140</v>
      </c>
      <c r="C31" s="70"/>
      <c r="D31" s="70"/>
      <c r="E31" s="70"/>
      <c r="F31" s="70"/>
      <c r="G31" s="70"/>
      <c r="H31" s="71"/>
      <c r="I31" s="1"/>
    </row>
    <row r="32" spans="1:9" ht="30" customHeight="1" x14ac:dyDescent="0.25">
      <c r="A32" s="1"/>
      <c r="B32" s="73" t="s">
        <v>141</v>
      </c>
      <c r="C32" s="74"/>
      <c r="D32" s="75"/>
      <c r="E32" s="37">
        <v>38190343</v>
      </c>
      <c r="F32" s="10" t="s">
        <v>4</v>
      </c>
      <c r="G32" s="19"/>
      <c r="H32" s="25"/>
      <c r="I32" s="1"/>
    </row>
    <row r="33" spans="1:9" x14ac:dyDescent="0.25">
      <c r="A33" s="1"/>
      <c r="B33" s="76" t="s">
        <v>68</v>
      </c>
      <c r="C33" s="77"/>
      <c r="D33" s="78"/>
      <c r="E33" s="37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73" t="s">
        <v>69</v>
      </c>
      <c r="C34" s="74"/>
      <c r="D34" s="75"/>
      <c r="E34" s="37">
        <v>0</v>
      </c>
      <c r="F34" s="10" t="s">
        <v>4</v>
      </c>
      <c r="G34" s="14"/>
      <c r="H34" s="27"/>
      <c r="I34" s="1"/>
    </row>
    <row r="35" spans="1:9" x14ac:dyDescent="0.25">
      <c r="A35" s="1"/>
      <c r="B35" s="83" t="s">
        <v>70</v>
      </c>
      <c r="C35" s="84"/>
      <c r="D35" s="85"/>
      <c r="E35" s="32">
        <f>SUM(E32:E34)</f>
        <v>38190343</v>
      </c>
      <c r="F35" s="16" t="s">
        <v>4</v>
      </c>
      <c r="G35" s="32">
        <f>-E35</f>
        <v>-38190343</v>
      </c>
      <c r="H35" s="16" t="s">
        <v>4</v>
      </c>
      <c r="I35" s="1"/>
    </row>
    <row r="36" spans="1:9" x14ac:dyDescent="0.25">
      <c r="A36" s="1"/>
      <c r="B36" s="69" t="s">
        <v>46</v>
      </c>
      <c r="C36" s="70"/>
      <c r="D36" s="70"/>
      <c r="E36" s="70"/>
      <c r="F36" s="71"/>
      <c r="G36" s="33">
        <f>$G$9+$G$28+$G$30+$G$35</f>
        <v>-694377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5"/>
  <sheetViews>
    <sheetView view="pageLayout" topLeftCell="A4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142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ht="30" customHeight="1" x14ac:dyDescent="0.25">
      <c r="A9" s="1"/>
      <c r="B9" s="73" t="s">
        <v>31</v>
      </c>
      <c r="C9" s="74"/>
      <c r="D9" s="75"/>
      <c r="E9" s="34">
        <f>'Fane 3. Grundlag'!G12</f>
        <v>39191214.243273526</v>
      </c>
      <c r="F9" s="7" t="s">
        <v>4</v>
      </c>
      <c r="G9" s="8"/>
      <c r="H9" s="9"/>
      <c r="I9" s="1"/>
    </row>
    <row r="10" spans="1:9" x14ac:dyDescent="0.25">
      <c r="A10" s="1"/>
      <c r="B10" s="82" t="s">
        <v>97</v>
      </c>
      <c r="C10" s="77"/>
      <c r="D10" s="78"/>
      <c r="E10" s="20">
        <f>'Fane 3. Grundlag'!G11</f>
        <v>23104108.158770338</v>
      </c>
      <c r="F10" s="7" t="s">
        <v>4</v>
      </c>
      <c r="G10" s="11"/>
      <c r="H10" s="12"/>
      <c r="I10" s="1"/>
    </row>
    <row r="11" spans="1:9" x14ac:dyDescent="0.25">
      <c r="A11" s="1"/>
      <c r="B11" s="76" t="s">
        <v>25</v>
      </c>
      <c r="C11" s="77"/>
      <c r="D11" s="78"/>
      <c r="E11" s="20">
        <f>'Fane 4. Individuelt eff.krav'!G11</f>
        <v>224394.03046644368</v>
      </c>
      <c r="F11" s="7" t="s">
        <v>4</v>
      </c>
      <c r="G11" s="13"/>
      <c r="H11" s="12"/>
      <c r="I11" s="1"/>
    </row>
    <row r="12" spans="1:9" x14ac:dyDescent="0.25">
      <c r="A12" s="1"/>
      <c r="B12" s="76" t="s">
        <v>26</v>
      </c>
      <c r="C12" s="77"/>
      <c r="D12" s="78"/>
      <c r="E12" s="20">
        <f>'Fane 5. Generelt eff.krav'!G15</f>
        <v>226247.11058785298</v>
      </c>
      <c r="F12" s="7" t="s">
        <v>4</v>
      </c>
      <c r="G12" s="14"/>
      <c r="H12" s="15"/>
      <c r="I12" s="1"/>
    </row>
    <row r="13" spans="1:9" x14ac:dyDescent="0.25">
      <c r="A13" s="1"/>
      <c r="B13" s="83" t="s">
        <v>43</v>
      </c>
      <c r="C13" s="84"/>
      <c r="D13" s="85"/>
      <c r="E13" s="32">
        <f>$E$9-$E$11-$E$12</f>
        <v>38740573.102219231</v>
      </c>
      <c r="F13" s="17" t="s">
        <v>4</v>
      </c>
      <c r="G13" s="32">
        <f>E13</f>
        <v>38740573.102219231</v>
      </c>
      <c r="H13" s="17" t="s">
        <v>4</v>
      </c>
      <c r="I13" s="1"/>
    </row>
    <row r="14" spans="1:9" x14ac:dyDescent="0.25">
      <c r="A14" s="1"/>
      <c r="B14" s="69" t="s">
        <v>32</v>
      </c>
      <c r="C14" s="70"/>
      <c r="D14" s="70"/>
      <c r="E14" s="70"/>
      <c r="F14" s="70"/>
      <c r="G14" s="70"/>
      <c r="H14" s="71"/>
      <c r="I14" s="1"/>
    </row>
    <row r="15" spans="1:9" x14ac:dyDescent="0.25">
      <c r="A15" s="1"/>
      <c r="B15" s="79" t="s">
        <v>108</v>
      </c>
      <c r="C15" s="80"/>
      <c r="D15" s="81"/>
      <c r="E15" s="32">
        <f>'Fane 6. Hist. over el. underdæk'!G13</f>
        <v>0</v>
      </c>
      <c r="F15" s="17" t="s">
        <v>4</v>
      </c>
      <c r="G15" s="32">
        <f>E15</f>
        <v>0</v>
      </c>
      <c r="H15" s="17" t="s">
        <v>4</v>
      </c>
      <c r="I15" s="1"/>
    </row>
    <row r="16" spans="1:9" x14ac:dyDescent="0.25">
      <c r="A16" s="1"/>
      <c r="B16" s="69" t="s">
        <v>28</v>
      </c>
      <c r="C16" s="70"/>
      <c r="D16" s="70"/>
      <c r="E16" s="70"/>
      <c r="F16" s="70"/>
      <c r="G16" s="70"/>
      <c r="H16" s="71"/>
      <c r="I16" s="1"/>
    </row>
    <row r="17" spans="1:9" x14ac:dyDescent="0.25">
      <c r="A17" s="1"/>
      <c r="B17" s="73" t="s">
        <v>35</v>
      </c>
      <c r="C17" s="74"/>
      <c r="D17" s="75"/>
      <c r="E17" s="20">
        <f>'Fane 8. Korrektion af PL2015'!G11</f>
        <v>3277677</v>
      </c>
      <c r="F17" s="7" t="s">
        <v>4</v>
      </c>
      <c r="G17" s="19"/>
      <c r="H17" s="9"/>
      <c r="I17" s="1"/>
    </row>
    <row r="18" spans="1:9" x14ac:dyDescent="0.25">
      <c r="A18" s="1"/>
      <c r="B18" s="73" t="s">
        <v>36</v>
      </c>
      <c r="C18" s="74"/>
      <c r="D18" s="75"/>
      <c r="E18" s="20">
        <f>'Fane 8. Korrektion af PL2015'!G17</f>
        <v>881973</v>
      </c>
      <c r="F18" s="7" t="s">
        <v>4</v>
      </c>
      <c r="G18" s="13"/>
      <c r="H18" s="12"/>
      <c r="I18" s="1"/>
    </row>
    <row r="19" spans="1:9" ht="30" customHeight="1" x14ac:dyDescent="0.25">
      <c r="A19" s="1"/>
      <c r="B19" s="73" t="s">
        <v>98</v>
      </c>
      <c r="C19" s="74"/>
      <c r="D19" s="75"/>
      <c r="E19" s="20">
        <f>'Fane 8. Korrektion af PL2015'!G23</f>
        <v>-6452</v>
      </c>
      <c r="F19" s="7" t="s">
        <v>4</v>
      </c>
      <c r="G19" s="11"/>
      <c r="H19" s="12"/>
      <c r="I19" s="1"/>
    </row>
    <row r="20" spans="1:9" ht="28.5" customHeight="1" x14ac:dyDescent="0.25">
      <c r="A20" s="1"/>
      <c r="B20" s="73" t="s">
        <v>37</v>
      </c>
      <c r="C20" s="74"/>
      <c r="D20" s="75"/>
      <c r="E20" s="20">
        <f>'Fane 8. Korrektion af PL2015'!G30</f>
        <v>175529.17000000016</v>
      </c>
      <c r="F20" s="7" t="s">
        <v>4</v>
      </c>
      <c r="G20" s="14"/>
      <c r="H20" s="15"/>
      <c r="I20" s="1"/>
    </row>
    <row r="21" spans="1:9" x14ac:dyDescent="0.25">
      <c r="A21" s="1"/>
      <c r="B21" s="79" t="s">
        <v>38</v>
      </c>
      <c r="C21" s="80"/>
      <c r="D21" s="81"/>
      <c r="E21" s="32">
        <f>SUM(E17:E20)</f>
        <v>4328727.17</v>
      </c>
      <c r="F21" s="17" t="s">
        <v>4</v>
      </c>
      <c r="G21" s="32">
        <f>E21</f>
        <v>4328727.17</v>
      </c>
      <c r="H21" s="17" t="s">
        <v>4</v>
      </c>
      <c r="I21" s="1"/>
    </row>
    <row r="22" spans="1:9" x14ac:dyDescent="0.25">
      <c r="A22" s="1"/>
      <c r="B22" s="69" t="s">
        <v>33</v>
      </c>
      <c r="C22" s="70"/>
      <c r="D22" s="70"/>
      <c r="E22" s="70"/>
      <c r="F22" s="70"/>
      <c r="G22" s="70"/>
      <c r="H22" s="71"/>
      <c r="I22" s="1"/>
    </row>
    <row r="23" spans="1:9" x14ac:dyDescent="0.25">
      <c r="A23" s="1"/>
      <c r="B23" s="79" t="s">
        <v>34</v>
      </c>
      <c r="C23" s="80"/>
      <c r="D23" s="81"/>
      <c r="E23" s="32">
        <f>'Fane 9. Kontrol af PL2015'!G36</f>
        <v>-694377</v>
      </c>
      <c r="F23" s="17" t="s">
        <v>4</v>
      </c>
      <c r="G23" s="32">
        <f>E23</f>
        <v>-694377</v>
      </c>
      <c r="H23" s="17" t="s">
        <v>4</v>
      </c>
      <c r="I23" s="1"/>
    </row>
    <row r="24" spans="1:9" x14ac:dyDescent="0.25">
      <c r="A24" s="1"/>
      <c r="B24" s="69" t="s">
        <v>39</v>
      </c>
      <c r="C24" s="70"/>
      <c r="D24" s="70"/>
      <c r="E24" s="70"/>
      <c r="F24" s="71"/>
      <c r="G24" s="33">
        <f>G13+G15+G21+G23</f>
        <v>42374923.272219233</v>
      </c>
      <c r="H24" s="18" t="s">
        <v>4</v>
      </c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</sheetData>
  <sheetProtection password="C6BD" sheet="1" objects="1" scenarios="1"/>
  <mergeCells count="18">
    <mergeCell ref="B21:D21"/>
    <mergeCell ref="B19:D19"/>
    <mergeCell ref="B24:F24"/>
    <mergeCell ref="B3:H4"/>
    <mergeCell ref="B9:D9"/>
    <mergeCell ref="B11:D11"/>
    <mergeCell ref="B23:D23"/>
    <mergeCell ref="B12:D12"/>
    <mergeCell ref="B10:D10"/>
    <mergeCell ref="B13:D13"/>
    <mergeCell ref="B15:D15"/>
    <mergeCell ref="B18:D18"/>
    <mergeCell ref="B20:D20"/>
    <mergeCell ref="B22:H22"/>
    <mergeCell ref="B16:H16"/>
    <mergeCell ref="B14:H14"/>
    <mergeCell ref="B8:H8"/>
    <mergeCell ref="B17:D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2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28515625" customWidth="1"/>
    <col min="6" max="6" width="3.28515625" customWidth="1"/>
    <col min="7" max="7" width="10.285156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109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3" t="s">
        <v>40</v>
      </c>
      <c r="C9" s="74"/>
      <c r="D9" s="75"/>
      <c r="E9" s="36">
        <f>'Fane 2.1. Økonomisk ramme 2017'!$E$9-'Fane 2.1. Økonomisk ramme 2017'!$E$11-'Fane 2.1. Økonomisk ramme 2017'!$E$12</f>
        <v>38740573.102219231</v>
      </c>
      <c r="F9" s="7" t="s">
        <v>4</v>
      </c>
      <c r="G9" s="8"/>
      <c r="H9" s="9"/>
      <c r="I9" s="1"/>
    </row>
    <row r="10" spans="1:9" x14ac:dyDescent="0.25">
      <c r="A10" s="1"/>
      <c r="B10" s="82" t="s">
        <v>110</v>
      </c>
      <c r="C10" s="86"/>
      <c r="D10" s="87"/>
      <c r="E10" s="37">
        <f>'Fane 3. Grundlag'!$G$9*(1-'Fane 4. Individuelt eff.krav'!$G$10/100)-'Fane 5. Generelt eff.krav'!G$11</f>
        <v>7077384.5448274733</v>
      </c>
      <c r="F10" s="7" t="s">
        <v>4</v>
      </c>
      <c r="G10" s="11"/>
      <c r="H10" s="12"/>
      <c r="I10" s="1"/>
    </row>
    <row r="11" spans="1:9" x14ac:dyDescent="0.25">
      <c r="A11" s="1"/>
      <c r="B11" s="82" t="s">
        <v>111</v>
      </c>
      <c r="C11" s="86"/>
      <c r="D11" s="87"/>
      <c r="E11" s="37">
        <f>'Fane 3. Grundlag'!$G$10*(1-'Fane 4. Individuelt eff.krav'!$G$10/100)-'Fane 5. Generelt eff.krav'!G$14</f>
        <v>8559080.3986214176</v>
      </c>
      <c r="F11" s="7" t="s">
        <v>4</v>
      </c>
      <c r="G11" s="11"/>
      <c r="H11" s="12"/>
      <c r="I11" s="1"/>
    </row>
    <row r="12" spans="1:9" x14ac:dyDescent="0.25">
      <c r="A12" s="1"/>
      <c r="B12" s="82" t="s">
        <v>97</v>
      </c>
      <c r="C12" s="86"/>
      <c r="D12" s="87"/>
      <c r="E12" s="37">
        <f>'Fane 2.1. Økonomisk ramme 2017'!$E$10</f>
        <v>23104108.158770338</v>
      </c>
      <c r="F12" s="7" t="s">
        <v>4</v>
      </c>
      <c r="G12" s="11"/>
      <c r="H12" s="12"/>
      <c r="I12" s="1"/>
    </row>
    <row r="13" spans="1:9" x14ac:dyDescent="0.25">
      <c r="A13" s="1"/>
      <c r="B13" s="76" t="s">
        <v>41</v>
      </c>
      <c r="C13" s="77"/>
      <c r="D13" s="78"/>
      <c r="E13" s="37">
        <f>$E$9*0.0127</f>
        <v>492005.27839818422</v>
      </c>
      <c r="F13" s="7" t="s">
        <v>4</v>
      </c>
      <c r="G13" s="13"/>
      <c r="H13" s="12"/>
      <c r="I13" s="1"/>
    </row>
    <row r="14" spans="1:9" x14ac:dyDescent="0.25">
      <c r="A14" s="1"/>
      <c r="B14" s="76" t="s">
        <v>25</v>
      </c>
      <c r="C14" s="77"/>
      <c r="D14" s="78"/>
      <c r="E14" s="37">
        <f>('Fane 2.2. Økonomisk ramme 2018'!$E$9-'Fane 2.2. Økonomisk ramme 2018'!$E$12)*1.0127*'Fane 4. Individuelt eff.krav'!$G$10/100</f>
        <v>220878.15145293187</v>
      </c>
      <c r="F14" s="7" t="s">
        <v>4</v>
      </c>
      <c r="G14" s="13"/>
      <c r="H14" s="12"/>
      <c r="I14" s="1"/>
    </row>
    <row r="15" spans="1:9" x14ac:dyDescent="0.25">
      <c r="A15" s="1"/>
      <c r="B15" s="28" t="s">
        <v>26</v>
      </c>
      <c r="C15" s="29"/>
      <c r="D15" s="30"/>
      <c r="E15" s="37">
        <f>('Fane 3. Grundlag'!$G$9-'Fane 5. Generelt eff.krav'!G$11)*1.0127*0.02+('Fane 3. Grundlag'!$G$10-'Fane 5. Generelt eff.krav'!G$14)*1.0127*0.0091</f>
        <v>225418.08087393554</v>
      </c>
      <c r="F15" s="7" t="s">
        <v>4</v>
      </c>
      <c r="G15" s="14"/>
      <c r="H15" s="15"/>
      <c r="I15" s="1"/>
    </row>
    <row r="16" spans="1:9" x14ac:dyDescent="0.25">
      <c r="A16" s="1"/>
      <c r="B16" s="83" t="s">
        <v>43</v>
      </c>
      <c r="C16" s="84"/>
      <c r="D16" s="85"/>
      <c r="E16" s="32">
        <f>$E$9+$E$13-$E$14-$E$15</f>
        <v>38786282.148290552</v>
      </c>
      <c r="F16" s="17" t="s">
        <v>4</v>
      </c>
      <c r="G16" s="32">
        <f>E16</f>
        <v>38786282.148290552</v>
      </c>
      <c r="H16" s="17" t="s">
        <v>4</v>
      </c>
      <c r="I16" s="1"/>
    </row>
    <row r="17" spans="1:9" x14ac:dyDescent="0.25">
      <c r="A17" s="1"/>
      <c r="B17" s="69" t="s">
        <v>32</v>
      </c>
      <c r="C17" s="70"/>
      <c r="D17" s="70"/>
      <c r="E17" s="70"/>
      <c r="F17" s="70"/>
      <c r="G17" s="70"/>
      <c r="H17" s="71"/>
      <c r="I17" s="1"/>
    </row>
    <row r="18" spans="1:9" ht="15" customHeight="1" x14ac:dyDescent="0.25">
      <c r="A18" s="1"/>
      <c r="B18" s="79" t="s">
        <v>108</v>
      </c>
      <c r="C18" s="80"/>
      <c r="D18" s="81"/>
      <c r="E18" s="35">
        <f>IF('Fane 6. Hist. over el. underdæk'!$G$12&gt;1,'Fane 6. Hist. over el. underdæk'!$G$13,0)</f>
        <v>0</v>
      </c>
      <c r="F18" s="17" t="s">
        <v>4</v>
      </c>
      <c r="G18" s="32">
        <f>E18</f>
        <v>0</v>
      </c>
      <c r="H18" s="17" t="s">
        <v>4</v>
      </c>
      <c r="I18" s="1"/>
    </row>
    <row r="19" spans="1:9" x14ac:dyDescent="0.25">
      <c r="A19" s="1"/>
      <c r="B19" s="69" t="s">
        <v>42</v>
      </c>
      <c r="C19" s="70"/>
      <c r="D19" s="70"/>
      <c r="E19" s="70"/>
      <c r="F19" s="71"/>
      <c r="G19" s="33">
        <f>G16+G18</f>
        <v>38786282.148290552</v>
      </c>
      <c r="H19" s="18" t="s">
        <v>4</v>
      </c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  <row r="52" spans="1:9" x14ac:dyDescent="0.25">
      <c r="A52" s="6"/>
      <c r="B52" s="6"/>
      <c r="C52" s="6"/>
      <c r="D52" s="6"/>
      <c r="E52" s="6"/>
      <c r="F52" s="6"/>
      <c r="G52" s="6"/>
      <c r="H52" s="6"/>
      <c r="I52" s="6"/>
    </row>
  </sheetData>
  <sheetProtection password="C6BD" sheet="1" objects="1" scenarios="1"/>
  <mergeCells count="12">
    <mergeCell ref="B3:H4"/>
    <mergeCell ref="B9:D9"/>
    <mergeCell ref="B10:D10"/>
    <mergeCell ref="B19:F19"/>
    <mergeCell ref="B13:D13"/>
    <mergeCell ref="B14:D14"/>
    <mergeCell ref="B16:D16"/>
    <mergeCell ref="B17:H17"/>
    <mergeCell ref="B18:D18"/>
    <mergeCell ref="B8:H8"/>
    <mergeCell ref="B12:D12"/>
    <mergeCell ref="B11:D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44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99</v>
      </c>
      <c r="C9" s="77"/>
      <c r="D9" s="77"/>
      <c r="E9" s="77"/>
      <c r="F9" s="78"/>
      <c r="G9" s="37">
        <v>7326095.8916398128</v>
      </c>
      <c r="H9" s="10" t="s">
        <v>4</v>
      </c>
      <c r="I9" s="1"/>
    </row>
    <row r="10" spans="1:9" x14ac:dyDescent="0.25">
      <c r="A10" s="1"/>
      <c r="B10" s="76" t="s">
        <v>100</v>
      </c>
      <c r="C10" s="77"/>
      <c r="D10" s="77"/>
      <c r="E10" s="77"/>
      <c r="F10" s="78"/>
      <c r="G10" s="37">
        <v>8761010.1928633749</v>
      </c>
      <c r="H10" s="10" t="s">
        <v>4</v>
      </c>
      <c r="I10" s="1"/>
    </row>
    <row r="11" spans="1:9" x14ac:dyDescent="0.25">
      <c r="A11" s="1"/>
      <c r="B11" s="76" t="s">
        <v>101</v>
      </c>
      <c r="C11" s="77"/>
      <c r="D11" s="77"/>
      <c r="E11" s="77"/>
      <c r="F11" s="78"/>
      <c r="G11" s="37">
        <v>23104108.158770338</v>
      </c>
      <c r="H11" s="10" t="s">
        <v>4</v>
      </c>
      <c r="I11" s="1"/>
    </row>
    <row r="12" spans="1:9" x14ac:dyDescent="0.25">
      <c r="A12" s="1"/>
      <c r="B12" s="69" t="s">
        <v>44</v>
      </c>
      <c r="C12" s="70"/>
      <c r="D12" s="70"/>
      <c r="E12" s="70"/>
      <c r="F12" s="71"/>
      <c r="G12" s="33">
        <f>SUM(G9:G11)</f>
        <v>39191214.243273526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102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27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25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103</v>
      </c>
      <c r="C9" s="77"/>
      <c r="D9" s="77"/>
      <c r="E9" s="77"/>
      <c r="F9" s="78"/>
      <c r="G9" s="20">
        <f>'Fane 3. Grundlag'!G12-'Fane 3. Grundlag'!G11</f>
        <v>16087106.084503189</v>
      </c>
      <c r="H9" s="10" t="s">
        <v>4</v>
      </c>
      <c r="I9" s="1"/>
    </row>
    <row r="10" spans="1:9" x14ac:dyDescent="0.25">
      <c r="A10" s="1"/>
      <c r="B10" s="76" t="s">
        <v>71</v>
      </c>
      <c r="C10" s="77"/>
      <c r="D10" s="77"/>
      <c r="E10" s="77"/>
      <c r="F10" s="78"/>
      <c r="G10" s="44">
        <v>1.3948688427100251</v>
      </c>
      <c r="H10" s="10" t="s">
        <v>72</v>
      </c>
      <c r="I10" s="1"/>
    </row>
    <row r="11" spans="1:9" x14ac:dyDescent="0.25">
      <c r="A11" s="1"/>
      <c r="B11" s="69" t="s">
        <v>25</v>
      </c>
      <c r="C11" s="70"/>
      <c r="D11" s="70"/>
      <c r="E11" s="70"/>
      <c r="F11" s="71"/>
      <c r="G11" s="33">
        <f>$G$9*$G$10/100</f>
        <v>224394.03046644368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8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105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88" t="s">
        <v>99</v>
      </c>
      <c r="C9" s="89"/>
      <c r="D9" s="89"/>
      <c r="E9" s="89"/>
      <c r="F9" s="90"/>
      <c r="G9" s="20">
        <f>'Fane 3. Grundlag'!G9</f>
        <v>7326095.8916398128</v>
      </c>
      <c r="H9" s="10" t="s">
        <v>4</v>
      </c>
      <c r="I9" s="1"/>
    </row>
    <row r="10" spans="1:9" x14ac:dyDescent="0.25">
      <c r="A10" s="1"/>
      <c r="B10" s="76" t="s">
        <v>26</v>
      </c>
      <c r="C10" s="77"/>
      <c r="D10" s="77"/>
      <c r="E10" s="77"/>
      <c r="F10" s="78"/>
      <c r="G10" s="42">
        <f>2</f>
        <v>2</v>
      </c>
      <c r="H10" s="10" t="s">
        <v>72</v>
      </c>
      <c r="I10" s="1"/>
    </row>
    <row r="11" spans="1:9" x14ac:dyDescent="0.25">
      <c r="A11" s="1"/>
      <c r="B11" s="83" t="s">
        <v>73</v>
      </c>
      <c r="C11" s="84"/>
      <c r="D11" s="84"/>
      <c r="E11" s="84"/>
      <c r="F11" s="85"/>
      <c r="G11" s="32">
        <f>$G$9*$G$10/100</f>
        <v>146521.91783279626</v>
      </c>
      <c r="H11" s="16" t="s">
        <v>4</v>
      </c>
      <c r="I11" s="1"/>
    </row>
    <row r="12" spans="1:9" x14ac:dyDescent="0.25">
      <c r="A12" s="1"/>
      <c r="B12" s="76" t="s">
        <v>100</v>
      </c>
      <c r="C12" s="77"/>
      <c r="D12" s="77"/>
      <c r="E12" s="77"/>
      <c r="F12" s="78"/>
      <c r="G12" s="20">
        <f>'Fane 3. Grundlag'!G10</f>
        <v>8761010.1928633749</v>
      </c>
      <c r="H12" s="10" t="s">
        <v>4</v>
      </c>
      <c r="I12" s="1"/>
    </row>
    <row r="13" spans="1:9" x14ac:dyDescent="0.25">
      <c r="A13" s="1"/>
      <c r="B13" s="76" t="s">
        <v>26</v>
      </c>
      <c r="C13" s="77"/>
      <c r="D13" s="77"/>
      <c r="E13" s="77"/>
      <c r="F13" s="78"/>
      <c r="G13" s="43">
        <f>0.91</f>
        <v>0.91</v>
      </c>
      <c r="H13" s="10" t="s">
        <v>72</v>
      </c>
      <c r="I13" s="1"/>
    </row>
    <row r="14" spans="1:9" x14ac:dyDescent="0.25">
      <c r="A14" s="1"/>
      <c r="B14" s="83" t="s">
        <v>74</v>
      </c>
      <c r="C14" s="84"/>
      <c r="D14" s="84"/>
      <c r="E14" s="84"/>
      <c r="F14" s="85"/>
      <c r="G14" s="32">
        <f>$G$12*$G$13/100</f>
        <v>79725.19275505672</v>
      </c>
      <c r="H14" s="16" t="s">
        <v>4</v>
      </c>
      <c r="I14" s="1"/>
    </row>
    <row r="15" spans="1:9" x14ac:dyDescent="0.25">
      <c r="A15" s="1"/>
      <c r="B15" s="69" t="s">
        <v>104</v>
      </c>
      <c r="C15" s="70"/>
      <c r="D15" s="70"/>
      <c r="E15" s="70"/>
      <c r="F15" s="71"/>
      <c r="G15" s="33">
        <f>G11+G14</f>
        <v>226247.11058785298</v>
      </c>
      <c r="H15" s="1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  <row r="51" spans="1:9" x14ac:dyDescent="0.25">
      <c r="A51" s="6"/>
      <c r="B51" s="6"/>
      <c r="C51" s="6"/>
      <c r="D51" s="6"/>
      <c r="E51" s="6"/>
      <c r="F51" s="6"/>
      <c r="G51" s="6"/>
      <c r="H51" s="6"/>
      <c r="I51" s="6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4" max="4" width="15.140625" customWidth="1"/>
    <col min="6" max="6" width="14.140625" customWidth="1"/>
    <col min="7" max="7" width="9" customWidth="1"/>
    <col min="8" max="8" width="3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106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69" t="s">
        <v>107</v>
      </c>
      <c r="C8" s="70"/>
      <c r="D8" s="70"/>
      <c r="E8" s="70"/>
      <c r="F8" s="70"/>
      <c r="G8" s="70"/>
      <c r="H8" s="71"/>
      <c r="I8" s="1"/>
    </row>
    <row r="9" spans="1:9" x14ac:dyDescent="0.25">
      <c r="A9" s="1"/>
      <c r="B9" s="76" t="s">
        <v>76</v>
      </c>
      <c r="C9" s="77"/>
      <c r="D9" s="77"/>
      <c r="E9" s="77"/>
      <c r="F9" s="78"/>
      <c r="G9" s="37">
        <v>3308085</v>
      </c>
      <c r="H9" s="10" t="s">
        <v>4</v>
      </c>
      <c r="I9" s="1"/>
    </row>
    <row r="10" spans="1:9" x14ac:dyDescent="0.25">
      <c r="A10" s="1"/>
      <c r="B10" s="76" t="s">
        <v>77</v>
      </c>
      <c r="C10" s="77"/>
      <c r="D10" s="77"/>
      <c r="E10" s="77"/>
      <c r="F10" s="78"/>
      <c r="G10" s="37">
        <v>3308085</v>
      </c>
      <c r="H10" s="10" t="s">
        <v>4</v>
      </c>
      <c r="I10" s="1"/>
    </row>
    <row r="11" spans="1:9" x14ac:dyDescent="0.25">
      <c r="A11" s="1"/>
      <c r="B11" s="91" t="s">
        <v>91</v>
      </c>
      <c r="C11" s="92"/>
      <c r="D11" s="92"/>
      <c r="E11" s="92"/>
      <c r="F11" s="93"/>
      <c r="G11" s="38">
        <v>0</v>
      </c>
      <c r="H11" s="23" t="s">
        <v>4</v>
      </c>
      <c r="I11" s="1"/>
    </row>
    <row r="12" spans="1:9" x14ac:dyDescent="0.25">
      <c r="A12" s="1"/>
      <c r="B12" s="76" t="s">
        <v>78</v>
      </c>
      <c r="C12" s="77"/>
      <c r="D12" s="77"/>
      <c r="E12" s="77"/>
      <c r="F12" s="78"/>
      <c r="G12" s="37">
        <v>0</v>
      </c>
      <c r="H12" s="10" t="s">
        <v>4</v>
      </c>
      <c r="I12" s="1"/>
    </row>
    <row r="13" spans="1:9" x14ac:dyDescent="0.25">
      <c r="A13" s="1"/>
      <c r="B13" s="69" t="s">
        <v>75</v>
      </c>
      <c r="C13" s="70"/>
      <c r="D13" s="70"/>
      <c r="E13" s="70"/>
      <c r="F13" s="71"/>
      <c r="G13" s="33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0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2" t="s">
        <v>30</v>
      </c>
      <c r="C3" s="72"/>
      <c r="D3" s="72"/>
      <c r="E3" s="72"/>
      <c r="F3" s="72"/>
      <c r="G3" s="72"/>
      <c r="H3" s="1"/>
    </row>
    <row r="4" spans="1:8" ht="15" customHeight="1" x14ac:dyDescent="0.25">
      <c r="A4" s="1"/>
      <c r="B4" s="72"/>
      <c r="C4" s="72"/>
      <c r="D4" s="72"/>
      <c r="E4" s="72"/>
      <c r="F4" s="72"/>
      <c r="G4" s="7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69" t="s">
        <v>5</v>
      </c>
      <c r="C8" s="70"/>
      <c r="D8" s="70"/>
      <c r="E8" s="70"/>
      <c r="F8" s="70"/>
      <c r="G8" s="71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79</v>
      </c>
      <c r="F9" s="94" t="s">
        <v>3</v>
      </c>
      <c r="G9" s="94"/>
      <c r="H9" s="1"/>
    </row>
    <row r="10" spans="1:8" x14ac:dyDescent="0.25">
      <c r="A10" s="1"/>
      <c r="B10" s="41" t="s">
        <v>113</v>
      </c>
      <c r="C10" s="39">
        <v>2015</v>
      </c>
      <c r="D10" s="39">
        <v>75</v>
      </c>
      <c r="E10" s="37">
        <v>197403</v>
      </c>
      <c r="F10" s="20">
        <f>E10/D10</f>
        <v>2632.04</v>
      </c>
      <c r="G10" s="10" t="s">
        <v>4</v>
      </c>
      <c r="H10" s="1"/>
    </row>
    <row r="11" spans="1:8" x14ac:dyDescent="0.25">
      <c r="A11" s="1"/>
      <c r="B11" s="41" t="s">
        <v>114</v>
      </c>
      <c r="C11" s="39">
        <v>2015</v>
      </c>
      <c r="D11" s="39">
        <v>75</v>
      </c>
      <c r="E11" s="37">
        <v>2464</v>
      </c>
      <c r="F11" s="20">
        <f t="shared" ref="F11:F72" si="0">E11/D11</f>
        <v>32.853333333333332</v>
      </c>
      <c r="G11" s="10" t="s">
        <v>4</v>
      </c>
      <c r="H11" s="1"/>
    </row>
    <row r="12" spans="1:8" x14ac:dyDescent="0.25">
      <c r="A12" s="1"/>
      <c r="B12" s="41" t="s">
        <v>115</v>
      </c>
      <c r="C12" s="39">
        <v>2015</v>
      </c>
      <c r="D12" s="39">
        <v>75</v>
      </c>
      <c r="E12" s="37">
        <v>2464</v>
      </c>
      <c r="F12" s="20">
        <f t="shared" si="0"/>
        <v>32.853333333333332</v>
      </c>
      <c r="G12" s="10" t="s">
        <v>4</v>
      </c>
      <c r="H12" s="1"/>
    </row>
    <row r="13" spans="1:8" x14ac:dyDescent="0.25">
      <c r="A13" s="1"/>
      <c r="B13" s="41" t="s">
        <v>116</v>
      </c>
      <c r="C13" s="39">
        <v>2015</v>
      </c>
      <c r="D13" s="39">
        <v>50</v>
      </c>
      <c r="E13" s="37">
        <v>2717</v>
      </c>
      <c r="F13" s="20">
        <f t="shared" si="0"/>
        <v>54.34</v>
      </c>
      <c r="G13" s="10" t="s">
        <v>4</v>
      </c>
      <c r="H13" s="1"/>
    </row>
    <row r="14" spans="1:8" x14ac:dyDescent="0.25">
      <c r="A14" s="1"/>
      <c r="B14" s="41" t="s">
        <v>117</v>
      </c>
      <c r="C14" s="39">
        <v>2015</v>
      </c>
      <c r="D14" s="39">
        <v>15</v>
      </c>
      <c r="E14" s="37">
        <v>4075</v>
      </c>
      <c r="F14" s="20">
        <f t="shared" si="0"/>
        <v>271.66666666666669</v>
      </c>
      <c r="G14" s="10" t="s">
        <v>4</v>
      </c>
      <c r="H14" s="1"/>
    </row>
    <row r="15" spans="1:8" x14ac:dyDescent="0.25">
      <c r="A15" s="1"/>
      <c r="B15" s="41" t="s">
        <v>118</v>
      </c>
      <c r="C15" s="39">
        <v>2015</v>
      </c>
      <c r="D15" s="39">
        <v>75</v>
      </c>
      <c r="E15" s="37">
        <v>142455</v>
      </c>
      <c r="F15" s="20">
        <f t="shared" si="0"/>
        <v>1899.4</v>
      </c>
      <c r="G15" s="10" t="s">
        <v>4</v>
      </c>
      <c r="H15" s="1"/>
    </row>
    <row r="16" spans="1:8" x14ac:dyDescent="0.25">
      <c r="A16" s="1"/>
      <c r="B16" s="41" t="s">
        <v>113</v>
      </c>
      <c r="C16" s="39">
        <v>2015</v>
      </c>
      <c r="D16" s="39">
        <v>75</v>
      </c>
      <c r="E16" s="37">
        <v>91790</v>
      </c>
      <c r="F16" s="20">
        <f t="shared" si="0"/>
        <v>1223.8666666666666</v>
      </c>
      <c r="G16" s="10" t="s">
        <v>4</v>
      </c>
      <c r="H16" s="1"/>
    </row>
    <row r="17" spans="1:8" x14ac:dyDescent="0.25">
      <c r="A17" s="1"/>
      <c r="B17" s="41" t="s">
        <v>113</v>
      </c>
      <c r="C17" s="39">
        <v>2015</v>
      </c>
      <c r="D17" s="39">
        <v>75</v>
      </c>
      <c r="E17" s="37">
        <v>96005</v>
      </c>
      <c r="F17" s="20">
        <f t="shared" si="0"/>
        <v>1280.0666666666666</v>
      </c>
      <c r="G17" s="10" t="s">
        <v>4</v>
      </c>
      <c r="H17" s="1"/>
    </row>
    <row r="18" spans="1:8" x14ac:dyDescent="0.25">
      <c r="A18" s="1"/>
      <c r="B18" s="41" t="s">
        <v>113</v>
      </c>
      <c r="C18" s="39">
        <v>2015</v>
      </c>
      <c r="D18" s="39">
        <v>75</v>
      </c>
      <c r="E18" s="37">
        <v>2357932</v>
      </c>
      <c r="F18" s="20">
        <f t="shared" si="0"/>
        <v>31439.093333333334</v>
      </c>
      <c r="G18" s="10" t="s">
        <v>4</v>
      </c>
      <c r="H18" s="1"/>
    </row>
    <row r="19" spans="1:8" x14ac:dyDescent="0.25">
      <c r="A19" s="1"/>
      <c r="B19" s="41" t="s">
        <v>119</v>
      </c>
      <c r="C19" s="39">
        <v>2015</v>
      </c>
      <c r="D19" s="39">
        <v>75</v>
      </c>
      <c r="E19" s="37">
        <v>74965</v>
      </c>
      <c r="F19" s="20">
        <f t="shared" si="0"/>
        <v>999.5333333333333</v>
      </c>
      <c r="G19" s="10" t="s">
        <v>4</v>
      </c>
      <c r="H19" s="1"/>
    </row>
    <row r="20" spans="1:8" x14ac:dyDescent="0.25">
      <c r="A20" s="1"/>
      <c r="B20" s="41" t="s">
        <v>114</v>
      </c>
      <c r="C20" s="39">
        <v>2015</v>
      </c>
      <c r="D20" s="39">
        <v>75</v>
      </c>
      <c r="E20" s="37">
        <v>15336</v>
      </c>
      <c r="F20" s="20">
        <f t="shared" si="0"/>
        <v>204.48</v>
      </c>
      <c r="G20" s="10" t="s">
        <v>4</v>
      </c>
      <c r="H20" s="1"/>
    </row>
    <row r="21" spans="1:8" x14ac:dyDescent="0.25">
      <c r="A21" s="1"/>
      <c r="B21" s="41" t="s">
        <v>114</v>
      </c>
      <c r="C21" s="39">
        <v>2015</v>
      </c>
      <c r="D21" s="39">
        <v>75</v>
      </c>
      <c r="E21" s="37">
        <v>170702</v>
      </c>
      <c r="F21" s="20">
        <f t="shared" si="0"/>
        <v>2276.0266666666666</v>
      </c>
      <c r="G21" s="10" t="s">
        <v>4</v>
      </c>
      <c r="H21" s="1"/>
    </row>
    <row r="22" spans="1:8" x14ac:dyDescent="0.25">
      <c r="A22" s="1"/>
      <c r="B22" s="41" t="s">
        <v>114</v>
      </c>
      <c r="C22" s="39">
        <v>2015</v>
      </c>
      <c r="D22" s="39">
        <v>75</v>
      </c>
      <c r="E22" s="37">
        <v>1150274</v>
      </c>
      <c r="F22" s="20">
        <f t="shared" si="0"/>
        <v>15336.986666666666</v>
      </c>
      <c r="G22" s="10" t="s">
        <v>4</v>
      </c>
      <c r="H22" s="1"/>
    </row>
    <row r="23" spans="1:8" x14ac:dyDescent="0.25">
      <c r="A23" s="1"/>
      <c r="B23" s="41" t="s">
        <v>114</v>
      </c>
      <c r="C23" s="39">
        <v>2015</v>
      </c>
      <c r="D23" s="39">
        <v>75</v>
      </c>
      <c r="E23" s="37">
        <v>35213</v>
      </c>
      <c r="F23" s="20">
        <f t="shared" si="0"/>
        <v>469.50666666666666</v>
      </c>
      <c r="G23" s="10" t="s">
        <v>4</v>
      </c>
      <c r="H23" s="1"/>
    </row>
    <row r="24" spans="1:8" x14ac:dyDescent="0.25">
      <c r="A24" s="1"/>
      <c r="B24" s="41" t="s">
        <v>114</v>
      </c>
      <c r="C24" s="39">
        <v>2015</v>
      </c>
      <c r="D24" s="39">
        <v>75</v>
      </c>
      <c r="E24" s="37">
        <v>25923</v>
      </c>
      <c r="F24" s="20">
        <f t="shared" si="0"/>
        <v>345.64</v>
      </c>
      <c r="G24" s="10" t="s">
        <v>4</v>
      </c>
      <c r="H24" s="1"/>
    </row>
    <row r="25" spans="1:8" x14ac:dyDescent="0.25">
      <c r="A25" s="1"/>
      <c r="B25" s="41" t="s">
        <v>114</v>
      </c>
      <c r="C25" s="39">
        <v>2015</v>
      </c>
      <c r="D25" s="39">
        <v>75</v>
      </c>
      <c r="E25" s="37">
        <v>299753</v>
      </c>
      <c r="F25" s="20">
        <f t="shared" si="0"/>
        <v>3996.7066666666665</v>
      </c>
      <c r="G25" s="10" t="s">
        <v>4</v>
      </c>
      <c r="H25" s="1"/>
    </row>
    <row r="26" spans="1:8" x14ac:dyDescent="0.25">
      <c r="A26" s="1"/>
      <c r="B26" s="41" t="s">
        <v>114</v>
      </c>
      <c r="C26" s="39">
        <v>2015</v>
      </c>
      <c r="D26" s="39">
        <v>75</v>
      </c>
      <c r="E26" s="37">
        <v>132900</v>
      </c>
      <c r="F26" s="20">
        <f t="shared" si="0"/>
        <v>1772</v>
      </c>
      <c r="G26" s="10" t="s">
        <v>4</v>
      </c>
      <c r="H26" s="1"/>
    </row>
    <row r="27" spans="1:8" x14ac:dyDescent="0.25">
      <c r="A27" s="1"/>
      <c r="B27" s="41" t="s">
        <v>115</v>
      </c>
      <c r="C27" s="39">
        <v>2015</v>
      </c>
      <c r="D27" s="39">
        <v>75</v>
      </c>
      <c r="E27" s="37">
        <v>15336</v>
      </c>
      <c r="F27" s="20">
        <f t="shared" si="0"/>
        <v>204.48</v>
      </c>
      <c r="G27" s="10" t="s">
        <v>4</v>
      </c>
      <c r="H27" s="1"/>
    </row>
    <row r="28" spans="1:8" x14ac:dyDescent="0.25">
      <c r="A28" s="1"/>
      <c r="B28" s="41" t="s">
        <v>115</v>
      </c>
      <c r="C28" s="39">
        <v>2015</v>
      </c>
      <c r="D28" s="39">
        <v>75</v>
      </c>
      <c r="E28" s="37">
        <v>170702</v>
      </c>
      <c r="F28" s="20">
        <f t="shared" si="0"/>
        <v>2276.0266666666666</v>
      </c>
      <c r="G28" s="10" t="s">
        <v>4</v>
      </c>
      <c r="H28" s="1"/>
    </row>
    <row r="29" spans="1:8" x14ac:dyDescent="0.25">
      <c r="A29" s="1"/>
      <c r="B29" s="41" t="s">
        <v>115</v>
      </c>
      <c r="C29" s="39">
        <v>2015</v>
      </c>
      <c r="D29" s="39">
        <v>75</v>
      </c>
      <c r="E29" s="37">
        <v>1150274</v>
      </c>
      <c r="F29" s="20">
        <f t="shared" si="0"/>
        <v>15336.986666666666</v>
      </c>
      <c r="G29" s="10" t="s">
        <v>4</v>
      </c>
      <c r="H29" s="1"/>
    </row>
    <row r="30" spans="1:8" x14ac:dyDescent="0.25">
      <c r="A30" s="1"/>
      <c r="B30" s="41" t="s">
        <v>115</v>
      </c>
      <c r="C30" s="39">
        <v>2015</v>
      </c>
      <c r="D30" s="39">
        <v>75</v>
      </c>
      <c r="E30" s="37">
        <v>35213</v>
      </c>
      <c r="F30" s="20">
        <f t="shared" si="0"/>
        <v>469.50666666666666</v>
      </c>
      <c r="G30" s="10" t="s">
        <v>4</v>
      </c>
      <c r="H30" s="1"/>
    </row>
    <row r="31" spans="1:8" x14ac:dyDescent="0.25">
      <c r="A31" s="1"/>
      <c r="B31" s="41" t="s">
        <v>115</v>
      </c>
      <c r="C31" s="39">
        <v>2015</v>
      </c>
      <c r="D31" s="39">
        <v>75</v>
      </c>
      <c r="E31" s="37">
        <v>25923</v>
      </c>
      <c r="F31" s="20">
        <f t="shared" si="0"/>
        <v>345.64</v>
      </c>
      <c r="G31" s="10" t="s">
        <v>4</v>
      </c>
      <c r="H31" s="1"/>
    </row>
    <row r="32" spans="1:8" x14ac:dyDescent="0.25">
      <c r="A32" s="1"/>
      <c r="B32" s="41" t="s">
        <v>115</v>
      </c>
      <c r="C32" s="39">
        <v>2015</v>
      </c>
      <c r="D32" s="39">
        <v>75</v>
      </c>
      <c r="E32" s="37">
        <v>299753</v>
      </c>
      <c r="F32" s="20">
        <f t="shared" si="0"/>
        <v>3996.7066666666665</v>
      </c>
      <c r="G32" s="10" t="s">
        <v>4</v>
      </c>
      <c r="H32" s="1"/>
    </row>
    <row r="33" spans="1:8" x14ac:dyDescent="0.25">
      <c r="A33" s="1"/>
      <c r="B33" s="41" t="s">
        <v>115</v>
      </c>
      <c r="C33" s="39">
        <v>2015</v>
      </c>
      <c r="D33" s="39">
        <v>75</v>
      </c>
      <c r="E33" s="37">
        <v>245517</v>
      </c>
      <c r="F33" s="20">
        <f t="shared" si="0"/>
        <v>3273.56</v>
      </c>
      <c r="G33" s="10" t="s">
        <v>4</v>
      </c>
      <c r="H33" s="1"/>
    </row>
    <row r="34" spans="1:8" x14ac:dyDescent="0.25">
      <c r="A34" s="1"/>
      <c r="B34" s="41" t="s">
        <v>118</v>
      </c>
      <c r="C34" s="39">
        <v>2015</v>
      </c>
      <c r="D34" s="39">
        <v>75</v>
      </c>
      <c r="E34" s="37">
        <v>36934</v>
      </c>
      <c r="F34" s="20">
        <f t="shared" si="0"/>
        <v>492.45333333333332</v>
      </c>
      <c r="G34" s="10" t="s">
        <v>4</v>
      </c>
      <c r="H34" s="1"/>
    </row>
    <row r="35" spans="1:8" x14ac:dyDescent="0.25">
      <c r="A35" s="1"/>
      <c r="B35" s="41" t="s">
        <v>113</v>
      </c>
      <c r="C35" s="39">
        <v>2015</v>
      </c>
      <c r="D35" s="39">
        <v>75</v>
      </c>
      <c r="E35" s="37">
        <v>162462</v>
      </c>
      <c r="F35" s="20">
        <f t="shared" si="0"/>
        <v>2166.16</v>
      </c>
      <c r="G35" s="10" t="s">
        <v>4</v>
      </c>
      <c r="H35" s="1"/>
    </row>
    <row r="36" spans="1:8" x14ac:dyDescent="0.25">
      <c r="A36" s="1"/>
      <c r="B36" s="41" t="s">
        <v>113</v>
      </c>
      <c r="C36" s="39">
        <v>2015</v>
      </c>
      <c r="D36" s="39">
        <v>75</v>
      </c>
      <c r="E36" s="37">
        <v>42907</v>
      </c>
      <c r="F36" s="20">
        <f t="shared" si="0"/>
        <v>572.09333333333336</v>
      </c>
      <c r="G36" s="10" t="s">
        <v>4</v>
      </c>
      <c r="H36" s="1"/>
    </row>
    <row r="37" spans="1:8" x14ac:dyDescent="0.25">
      <c r="A37" s="1"/>
      <c r="B37" s="41" t="s">
        <v>113</v>
      </c>
      <c r="C37" s="39">
        <v>2015</v>
      </c>
      <c r="D37" s="39">
        <v>75</v>
      </c>
      <c r="E37" s="37">
        <v>121747</v>
      </c>
      <c r="F37" s="20">
        <f t="shared" si="0"/>
        <v>1623.2933333333333</v>
      </c>
      <c r="G37" s="10" t="s">
        <v>4</v>
      </c>
      <c r="H37" s="1"/>
    </row>
    <row r="38" spans="1:8" x14ac:dyDescent="0.25">
      <c r="A38" s="1"/>
      <c r="B38" s="41" t="s">
        <v>114</v>
      </c>
      <c r="C38" s="39">
        <v>2015</v>
      </c>
      <c r="D38" s="39">
        <v>75</v>
      </c>
      <c r="E38" s="37">
        <v>33232</v>
      </c>
      <c r="F38" s="20">
        <f t="shared" si="0"/>
        <v>443.09333333333331</v>
      </c>
      <c r="G38" s="10" t="s">
        <v>4</v>
      </c>
      <c r="H38" s="1"/>
    </row>
    <row r="39" spans="1:8" x14ac:dyDescent="0.25">
      <c r="A39" s="1"/>
      <c r="B39" s="41" t="s">
        <v>114</v>
      </c>
      <c r="C39" s="39">
        <v>2015</v>
      </c>
      <c r="D39" s="39">
        <v>75</v>
      </c>
      <c r="E39" s="37">
        <v>48672</v>
      </c>
      <c r="F39" s="20">
        <f t="shared" si="0"/>
        <v>648.96</v>
      </c>
      <c r="G39" s="10" t="s">
        <v>4</v>
      </c>
      <c r="H39" s="1"/>
    </row>
    <row r="40" spans="1:8" x14ac:dyDescent="0.25">
      <c r="A40" s="1"/>
      <c r="B40" s="41" t="s">
        <v>114</v>
      </c>
      <c r="C40" s="39">
        <v>2015</v>
      </c>
      <c r="D40" s="39">
        <v>75</v>
      </c>
      <c r="E40" s="37">
        <v>21244</v>
      </c>
      <c r="F40" s="20">
        <f t="shared" si="0"/>
        <v>283.25333333333333</v>
      </c>
      <c r="G40" s="10" t="s">
        <v>4</v>
      </c>
      <c r="H40" s="1"/>
    </row>
    <row r="41" spans="1:8" x14ac:dyDescent="0.25">
      <c r="A41" s="1"/>
      <c r="B41" s="41" t="s">
        <v>114</v>
      </c>
      <c r="C41" s="39">
        <v>2015</v>
      </c>
      <c r="D41" s="39">
        <v>75</v>
      </c>
      <c r="E41" s="37">
        <v>56085</v>
      </c>
      <c r="F41" s="20">
        <f t="shared" si="0"/>
        <v>747.8</v>
      </c>
      <c r="G41" s="10" t="s">
        <v>4</v>
      </c>
      <c r="H41" s="1"/>
    </row>
    <row r="42" spans="1:8" x14ac:dyDescent="0.25">
      <c r="A42" s="1"/>
      <c r="B42" s="41" t="s">
        <v>115</v>
      </c>
      <c r="C42" s="39">
        <v>2015</v>
      </c>
      <c r="D42" s="39">
        <v>75</v>
      </c>
      <c r="E42" s="37">
        <v>33232</v>
      </c>
      <c r="F42" s="20">
        <f t="shared" si="0"/>
        <v>443.09333333333331</v>
      </c>
      <c r="G42" s="10" t="s">
        <v>4</v>
      </c>
      <c r="H42" s="1"/>
    </row>
    <row r="43" spans="1:8" x14ac:dyDescent="0.25">
      <c r="A43" s="1"/>
      <c r="B43" s="41" t="s">
        <v>115</v>
      </c>
      <c r="C43" s="39">
        <v>2015</v>
      </c>
      <c r="D43" s="39">
        <v>75</v>
      </c>
      <c r="E43" s="37">
        <v>48672</v>
      </c>
      <c r="F43" s="20">
        <f t="shared" si="0"/>
        <v>648.96</v>
      </c>
      <c r="G43" s="10" t="s">
        <v>4</v>
      </c>
      <c r="H43" s="1"/>
    </row>
    <row r="44" spans="1:8" x14ac:dyDescent="0.25">
      <c r="A44" s="1"/>
      <c r="B44" s="41" t="s">
        <v>115</v>
      </c>
      <c r="C44" s="39">
        <v>2015</v>
      </c>
      <c r="D44" s="39">
        <v>75</v>
      </c>
      <c r="E44" s="37">
        <v>21244</v>
      </c>
      <c r="F44" s="20">
        <f t="shared" si="0"/>
        <v>283.25333333333333</v>
      </c>
      <c r="G44" s="10" t="s">
        <v>4</v>
      </c>
      <c r="H44" s="1"/>
    </row>
    <row r="45" spans="1:8" x14ac:dyDescent="0.25">
      <c r="A45" s="1"/>
      <c r="B45" s="41" t="s">
        <v>115</v>
      </c>
      <c r="C45" s="39">
        <v>2015</v>
      </c>
      <c r="D45" s="39">
        <v>75</v>
      </c>
      <c r="E45" s="37">
        <v>56085</v>
      </c>
      <c r="F45" s="20">
        <f t="shared" si="0"/>
        <v>747.8</v>
      </c>
      <c r="G45" s="10" t="s">
        <v>4</v>
      </c>
      <c r="H45" s="1"/>
    </row>
    <row r="46" spans="1:8" x14ac:dyDescent="0.25">
      <c r="A46" s="1"/>
      <c r="B46" s="41" t="s">
        <v>115</v>
      </c>
      <c r="C46" s="39">
        <v>2015</v>
      </c>
      <c r="D46" s="39">
        <v>75</v>
      </c>
      <c r="E46" s="37">
        <v>167989</v>
      </c>
      <c r="F46" s="20">
        <f t="shared" si="0"/>
        <v>2239.8533333333335</v>
      </c>
      <c r="G46" s="10" t="s">
        <v>4</v>
      </c>
      <c r="H46" s="1"/>
    </row>
    <row r="47" spans="1:8" x14ac:dyDescent="0.25">
      <c r="A47" s="1"/>
      <c r="B47" s="41" t="s">
        <v>120</v>
      </c>
      <c r="C47" s="39">
        <v>2015</v>
      </c>
      <c r="D47" s="39">
        <v>75</v>
      </c>
      <c r="E47" s="37">
        <v>8919</v>
      </c>
      <c r="F47" s="20">
        <f t="shared" si="0"/>
        <v>118.92</v>
      </c>
      <c r="G47" s="10" t="s">
        <v>4</v>
      </c>
      <c r="H47" s="1"/>
    </row>
    <row r="48" spans="1:8" x14ac:dyDescent="0.25">
      <c r="A48" s="1"/>
      <c r="B48" s="41" t="s">
        <v>121</v>
      </c>
      <c r="C48" s="39">
        <v>2015</v>
      </c>
      <c r="D48" s="39">
        <v>75</v>
      </c>
      <c r="E48" s="37">
        <v>72916</v>
      </c>
      <c r="F48" s="20">
        <f t="shared" si="0"/>
        <v>972.21333333333337</v>
      </c>
      <c r="G48" s="10" t="s">
        <v>4</v>
      </c>
      <c r="H48" s="1"/>
    </row>
    <row r="49" spans="1:8" x14ac:dyDescent="0.25">
      <c r="A49" s="1"/>
      <c r="B49" s="41" t="s">
        <v>121</v>
      </c>
      <c r="C49" s="39">
        <v>2015</v>
      </c>
      <c r="D49" s="39">
        <v>75</v>
      </c>
      <c r="E49" s="37">
        <v>14239</v>
      </c>
      <c r="F49" s="20">
        <f t="shared" si="0"/>
        <v>189.85333333333332</v>
      </c>
      <c r="G49" s="10" t="s">
        <v>4</v>
      </c>
      <c r="H49" s="1"/>
    </row>
    <row r="50" spans="1:8" x14ac:dyDescent="0.25">
      <c r="A50" s="1"/>
      <c r="B50" s="41" t="s">
        <v>121</v>
      </c>
      <c r="C50" s="39">
        <v>2015</v>
      </c>
      <c r="D50" s="39">
        <v>75</v>
      </c>
      <c r="E50" s="37">
        <v>155374</v>
      </c>
      <c r="F50" s="20">
        <f t="shared" si="0"/>
        <v>2071.6533333333332</v>
      </c>
      <c r="G50" s="10" t="s">
        <v>4</v>
      </c>
      <c r="H50" s="1"/>
    </row>
    <row r="51" spans="1:8" x14ac:dyDescent="0.25">
      <c r="A51" s="1"/>
      <c r="B51" s="41" t="s">
        <v>121</v>
      </c>
      <c r="C51" s="39">
        <v>2015</v>
      </c>
      <c r="D51" s="39">
        <v>75</v>
      </c>
      <c r="E51" s="37">
        <v>221067</v>
      </c>
      <c r="F51" s="20">
        <f t="shared" si="0"/>
        <v>2947.56</v>
      </c>
      <c r="G51" s="10" t="s">
        <v>4</v>
      </c>
      <c r="H51" s="1"/>
    </row>
    <row r="52" spans="1:8" x14ac:dyDescent="0.25">
      <c r="A52" s="1"/>
      <c r="B52" s="41" t="s">
        <v>122</v>
      </c>
      <c r="C52" s="39">
        <v>2015</v>
      </c>
      <c r="D52" s="39">
        <v>75</v>
      </c>
      <c r="E52" s="37">
        <v>88246</v>
      </c>
      <c r="F52" s="20">
        <f t="shared" si="0"/>
        <v>1176.6133333333332</v>
      </c>
      <c r="G52" s="10" t="s">
        <v>4</v>
      </c>
      <c r="H52" s="1"/>
    </row>
    <row r="53" spans="1:8" x14ac:dyDescent="0.25">
      <c r="A53" s="1"/>
      <c r="B53" s="41" t="s">
        <v>123</v>
      </c>
      <c r="C53" s="39">
        <v>2015</v>
      </c>
      <c r="D53" s="39">
        <v>25</v>
      </c>
      <c r="E53" s="37">
        <v>63910</v>
      </c>
      <c r="F53" s="20">
        <f t="shared" si="0"/>
        <v>2556.4</v>
      </c>
      <c r="G53" s="10" t="s">
        <v>4</v>
      </c>
      <c r="H53" s="1"/>
    </row>
    <row r="54" spans="1:8" x14ac:dyDescent="0.25">
      <c r="A54" s="1"/>
      <c r="B54" s="41" t="s">
        <v>124</v>
      </c>
      <c r="C54" s="39">
        <v>2015</v>
      </c>
      <c r="D54" s="39">
        <v>8</v>
      </c>
      <c r="E54" s="37">
        <v>992481</v>
      </c>
      <c r="F54" s="20">
        <f t="shared" si="0"/>
        <v>124060.125</v>
      </c>
      <c r="G54" s="10" t="s">
        <v>4</v>
      </c>
      <c r="H54" s="1"/>
    </row>
    <row r="55" spans="1:8" x14ac:dyDescent="0.25">
      <c r="A55" s="1"/>
      <c r="B55" s="41" t="s">
        <v>125</v>
      </c>
      <c r="C55" s="39">
        <v>2015</v>
      </c>
      <c r="D55" s="39">
        <v>50</v>
      </c>
      <c r="E55" s="37">
        <v>320103</v>
      </c>
      <c r="F55" s="20">
        <f t="shared" si="0"/>
        <v>6402.06</v>
      </c>
      <c r="G55" s="10" t="s">
        <v>4</v>
      </c>
      <c r="H55" s="1"/>
    </row>
    <row r="56" spans="1:8" x14ac:dyDescent="0.25">
      <c r="A56" s="1"/>
      <c r="B56" s="41" t="s">
        <v>126</v>
      </c>
      <c r="C56" s="39">
        <v>2015</v>
      </c>
      <c r="D56" s="39">
        <v>15</v>
      </c>
      <c r="E56" s="37">
        <v>365831</v>
      </c>
      <c r="F56" s="20">
        <f t="shared" si="0"/>
        <v>24388.733333333334</v>
      </c>
      <c r="G56" s="10" t="s">
        <v>4</v>
      </c>
      <c r="H56" s="1"/>
    </row>
    <row r="57" spans="1:8" x14ac:dyDescent="0.25">
      <c r="A57" s="1"/>
      <c r="B57" s="41" t="s">
        <v>127</v>
      </c>
      <c r="C57" s="39">
        <v>2015</v>
      </c>
      <c r="D57" s="39">
        <v>10</v>
      </c>
      <c r="E57" s="37">
        <v>228647</v>
      </c>
      <c r="F57" s="20">
        <f t="shared" si="0"/>
        <v>22864.7</v>
      </c>
      <c r="G57" s="10" t="s">
        <v>4</v>
      </c>
      <c r="H57" s="1"/>
    </row>
    <row r="58" spans="1:8" x14ac:dyDescent="0.25">
      <c r="A58" s="1"/>
      <c r="B58" s="41" t="s">
        <v>128</v>
      </c>
      <c r="C58" s="39">
        <v>2015</v>
      </c>
      <c r="D58" s="39">
        <v>30</v>
      </c>
      <c r="E58" s="37">
        <v>31620</v>
      </c>
      <c r="F58" s="20">
        <f t="shared" si="0"/>
        <v>1054</v>
      </c>
      <c r="G58" s="10" t="s">
        <v>4</v>
      </c>
      <c r="H58" s="1"/>
    </row>
    <row r="59" spans="1:8" x14ac:dyDescent="0.25">
      <c r="A59" s="1"/>
      <c r="B59" s="41" t="s">
        <v>129</v>
      </c>
      <c r="C59" s="39">
        <v>2015</v>
      </c>
      <c r="D59" s="39">
        <v>10</v>
      </c>
      <c r="E59" s="37">
        <v>19164</v>
      </c>
      <c r="F59" s="20">
        <f t="shared" si="0"/>
        <v>1916.4</v>
      </c>
      <c r="G59" s="10" t="s">
        <v>4</v>
      </c>
      <c r="H59" s="1"/>
    </row>
    <row r="60" spans="1:8" x14ac:dyDescent="0.25">
      <c r="A60" s="1"/>
      <c r="B60" s="41" t="s">
        <v>129</v>
      </c>
      <c r="C60" s="39">
        <v>2015</v>
      </c>
      <c r="D60" s="39">
        <v>10</v>
      </c>
      <c r="E60" s="37">
        <v>23139</v>
      </c>
      <c r="F60" s="20">
        <f t="shared" si="0"/>
        <v>2313.9</v>
      </c>
      <c r="G60" s="10" t="s">
        <v>4</v>
      </c>
      <c r="H60" s="1"/>
    </row>
    <row r="61" spans="1:8" x14ac:dyDescent="0.25">
      <c r="A61" s="1"/>
      <c r="B61" s="41" t="s">
        <v>130</v>
      </c>
      <c r="C61" s="39">
        <v>2015</v>
      </c>
      <c r="D61" s="39">
        <v>25</v>
      </c>
      <c r="E61" s="37">
        <v>155902</v>
      </c>
      <c r="F61" s="20">
        <f t="shared" si="0"/>
        <v>6236.08</v>
      </c>
      <c r="G61" s="10" t="s">
        <v>4</v>
      </c>
      <c r="H61" s="1"/>
    </row>
    <row r="62" spans="1:8" x14ac:dyDescent="0.25">
      <c r="A62" s="1"/>
      <c r="B62" s="41" t="s">
        <v>130</v>
      </c>
      <c r="C62" s="39">
        <v>2015</v>
      </c>
      <c r="D62" s="39">
        <v>25</v>
      </c>
      <c r="E62" s="37">
        <v>4019</v>
      </c>
      <c r="F62" s="20">
        <f t="shared" si="0"/>
        <v>160.76</v>
      </c>
      <c r="G62" s="10" t="s">
        <v>4</v>
      </c>
      <c r="H62" s="1"/>
    </row>
    <row r="63" spans="1:8" x14ac:dyDescent="0.25">
      <c r="A63" s="1"/>
      <c r="B63" s="41" t="s">
        <v>130</v>
      </c>
      <c r="C63" s="39">
        <v>2015</v>
      </c>
      <c r="D63" s="39">
        <v>25</v>
      </c>
      <c r="E63" s="37">
        <v>5842</v>
      </c>
      <c r="F63" s="20">
        <f t="shared" si="0"/>
        <v>233.68</v>
      </c>
      <c r="G63" s="10" t="s">
        <v>4</v>
      </c>
      <c r="H63" s="1"/>
    </row>
    <row r="64" spans="1:8" x14ac:dyDescent="0.25">
      <c r="A64" s="1"/>
      <c r="B64" s="41" t="s">
        <v>131</v>
      </c>
      <c r="C64" s="39">
        <v>2015</v>
      </c>
      <c r="D64" s="39">
        <v>25</v>
      </c>
      <c r="E64" s="37">
        <v>34133</v>
      </c>
      <c r="F64" s="20">
        <f t="shared" si="0"/>
        <v>1365.32</v>
      </c>
      <c r="G64" s="10" t="s">
        <v>4</v>
      </c>
      <c r="H64" s="1"/>
    </row>
    <row r="65" spans="1:8" x14ac:dyDescent="0.25">
      <c r="A65" s="1"/>
      <c r="B65" s="41" t="s">
        <v>132</v>
      </c>
      <c r="C65" s="39">
        <v>2015</v>
      </c>
      <c r="D65" s="39">
        <v>10</v>
      </c>
      <c r="E65" s="37">
        <v>14007</v>
      </c>
      <c r="F65" s="20">
        <f t="shared" si="0"/>
        <v>1400.7</v>
      </c>
      <c r="G65" s="10" t="s">
        <v>4</v>
      </c>
      <c r="H65" s="1"/>
    </row>
    <row r="66" spans="1:8" x14ac:dyDescent="0.25">
      <c r="A66" s="1"/>
      <c r="B66" s="41" t="s">
        <v>123</v>
      </c>
      <c r="C66" s="39">
        <v>2015</v>
      </c>
      <c r="D66" s="39">
        <v>25</v>
      </c>
      <c r="E66" s="37">
        <v>266952</v>
      </c>
      <c r="F66" s="20">
        <f t="shared" si="0"/>
        <v>10678.08</v>
      </c>
      <c r="G66" s="10" t="s">
        <v>4</v>
      </c>
      <c r="H66" s="1"/>
    </row>
    <row r="67" spans="1:8" x14ac:dyDescent="0.25">
      <c r="A67" s="1"/>
      <c r="B67" s="41" t="s">
        <v>133</v>
      </c>
      <c r="C67" s="39">
        <v>2015</v>
      </c>
      <c r="D67" s="39">
        <v>10</v>
      </c>
      <c r="E67" s="37">
        <v>21075</v>
      </c>
      <c r="F67" s="20">
        <f t="shared" si="0"/>
        <v>2107.5</v>
      </c>
      <c r="G67" s="10" t="s">
        <v>4</v>
      </c>
      <c r="H67" s="1"/>
    </row>
    <row r="68" spans="1:8" x14ac:dyDescent="0.25">
      <c r="A68" s="1"/>
      <c r="B68" s="41" t="s">
        <v>134</v>
      </c>
      <c r="C68" s="39">
        <v>2015</v>
      </c>
      <c r="D68" s="39">
        <v>10</v>
      </c>
      <c r="E68" s="37">
        <v>7513</v>
      </c>
      <c r="F68" s="20">
        <f t="shared" si="0"/>
        <v>751.3</v>
      </c>
      <c r="G68" s="10" t="s">
        <v>4</v>
      </c>
      <c r="H68" s="1"/>
    </row>
    <row r="69" spans="1:8" x14ac:dyDescent="0.25">
      <c r="A69" s="1"/>
      <c r="B69" s="41" t="s">
        <v>135</v>
      </c>
      <c r="C69" s="39">
        <v>2015</v>
      </c>
      <c r="D69" s="39">
        <v>5</v>
      </c>
      <c r="E69" s="37">
        <v>76881</v>
      </c>
      <c r="F69" s="20">
        <f t="shared" si="0"/>
        <v>15376.2</v>
      </c>
      <c r="G69" s="10" t="s">
        <v>4</v>
      </c>
      <c r="H69" s="1"/>
    </row>
    <row r="70" spans="1:8" x14ac:dyDescent="0.25">
      <c r="A70" s="1"/>
      <c r="B70" s="41" t="s">
        <v>136</v>
      </c>
      <c r="C70" s="39">
        <v>2015</v>
      </c>
      <c r="D70" s="39">
        <v>5</v>
      </c>
      <c r="E70" s="37">
        <v>367521</v>
      </c>
      <c r="F70" s="20">
        <f t="shared" si="0"/>
        <v>73504.2</v>
      </c>
      <c r="G70" s="10" t="s">
        <v>4</v>
      </c>
      <c r="H70" s="1"/>
    </row>
    <row r="71" spans="1:8" x14ac:dyDescent="0.25">
      <c r="A71" s="1"/>
      <c r="B71" s="41" t="s">
        <v>137</v>
      </c>
      <c r="C71" s="39">
        <v>2015</v>
      </c>
      <c r="D71" s="39">
        <v>5</v>
      </c>
      <c r="E71" s="37">
        <v>76038</v>
      </c>
      <c r="F71" s="20">
        <f t="shared" si="0"/>
        <v>15207.6</v>
      </c>
      <c r="G71" s="10" t="s">
        <v>4</v>
      </c>
      <c r="H71" s="1"/>
    </row>
    <row r="72" spans="1:8" x14ac:dyDescent="0.25">
      <c r="A72" s="1"/>
      <c r="B72" s="41" t="s">
        <v>138</v>
      </c>
      <c r="C72" s="39">
        <v>2015</v>
      </c>
      <c r="D72" s="39">
        <v>5</v>
      </c>
      <c r="E72" s="37">
        <v>41000</v>
      </c>
      <c r="F72" s="20">
        <f t="shared" si="0"/>
        <v>8200</v>
      </c>
      <c r="G72" s="10" t="s">
        <v>4</v>
      </c>
      <c r="H72" s="1"/>
    </row>
    <row r="73" spans="1:8" x14ac:dyDescent="0.25">
      <c r="A73" s="1"/>
      <c r="B73" s="69" t="s">
        <v>139</v>
      </c>
      <c r="C73" s="70"/>
      <c r="D73" s="70"/>
      <c r="E73" s="71"/>
      <c r="F73" s="33">
        <f>SUM(F10:F72)</f>
        <v>429764.58500000008</v>
      </c>
      <c r="G73" s="18" t="s">
        <v>4</v>
      </c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6"/>
      <c r="B78" s="6"/>
      <c r="C78" s="6"/>
      <c r="D78" s="6"/>
      <c r="E78" s="6"/>
      <c r="F78" s="6"/>
      <c r="G78" s="6"/>
      <c r="H78" s="6"/>
    </row>
    <row r="79" spans="1:8" x14ac:dyDescent="0.25">
      <c r="A79" s="6"/>
      <c r="B79" s="6"/>
      <c r="C79" s="6"/>
      <c r="D79" s="6"/>
      <c r="E79" s="6"/>
      <c r="F79" s="6"/>
      <c r="G79" s="6"/>
      <c r="H79" s="6"/>
    </row>
    <row r="80" spans="1:8" x14ac:dyDescent="0.25">
      <c r="A80" s="6"/>
      <c r="B80" s="6"/>
      <c r="C80" s="6"/>
      <c r="D80" s="6"/>
      <c r="E80" s="6"/>
      <c r="F80" s="6"/>
      <c r="G80" s="6"/>
      <c r="H80" s="6"/>
    </row>
    <row r="81" spans="1:8" x14ac:dyDescent="0.25">
      <c r="A81" s="6"/>
      <c r="B81" s="6"/>
      <c r="C81" s="6"/>
      <c r="D81" s="6"/>
      <c r="E81" s="6"/>
      <c r="F81" s="6"/>
      <c r="G81" s="6"/>
      <c r="H81" s="6"/>
    </row>
    <row r="82" spans="1:8" x14ac:dyDescent="0.25">
      <c r="A82" s="6"/>
      <c r="B82" s="6"/>
      <c r="C82" s="6"/>
      <c r="D82" s="6"/>
      <c r="E82" s="6"/>
      <c r="F82" s="6"/>
      <c r="G82" s="6"/>
      <c r="H82" s="6"/>
    </row>
    <row r="83" spans="1:8" x14ac:dyDescent="0.25">
      <c r="A83" s="6"/>
      <c r="B83" s="6"/>
      <c r="C83" s="6"/>
      <c r="D83" s="6"/>
      <c r="E83" s="6"/>
      <c r="F83" s="6"/>
      <c r="G83" s="6"/>
      <c r="H83" s="6"/>
    </row>
    <row r="84" spans="1:8" x14ac:dyDescent="0.25">
      <c r="A84" s="6"/>
      <c r="B84" s="6"/>
      <c r="C84" s="6"/>
      <c r="D84" s="6"/>
      <c r="E84" s="6"/>
      <c r="F84" s="6"/>
      <c r="G84" s="6"/>
      <c r="H84" s="6"/>
    </row>
    <row r="85" spans="1:8" x14ac:dyDescent="0.25">
      <c r="A85" s="6"/>
      <c r="B85" s="6"/>
      <c r="C85" s="6"/>
      <c r="D85" s="6"/>
      <c r="E85" s="6"/>
      <c r="F85" s="6"/>
      <c r="G85" s="6"/>
      <c r="H85" s="6"/>
    </row>
    <row r="86" spans="1:8" x14ac:dyDescent="0.25">
      <c r="A86" s="6"/>
      <c r="B86" s="6"/>
      <c r="C86" s="6"/>
      <c r="D86" s="6"/>
      <c r="E86" s="6"/>
      <c r="F86" s="6"/>
      <c r="G86" s="6"/>
      <c r="H86" s="6"/>
    </row>
    <row r="87" spans="1:8" x14ac:dyDescent="0.25">
      <c r="A87" s="6"/>
      <c r="B87" s="6"/>
      <c r="C87" s="6"/>
      <c r="D87" s="6"/>
      <c r="E87" s="6"/>
      <c r="F87" s="6"/>
      <c r="G87" s="6"/>
      <c r="H87" s="6"/>
    </row>
    <row r="88" spans="1:8" x14ac:dyDescent="0.25">
      <c r="A88" s="6"/>
      <c r="B88" s="6"/>
      <c r="C88" s="6"/>
      <c r="D88" s="6"/>
      <c r="E88" s="6"/>
      <c r="F88" s="6"/>
      <c r="G88" s="6"/>
      <c r="H88" s="6"/>
    </row>
    <row r="89" spans="1:8" x14ac:dyDescent="0.25">
      <c r="A89" s="6"/>
      <c r="B89" s="6"/>
      <c r="C89" s="6"/>
      <c r="D89" s="6"/>
      <c r="E89" s="6"/>
      <c r="F89" s="6"/>
      <c r="G89" s="6"/>
      <c r="H89" s="6"/>
    </row>
    <row r="90" spans="1:8" x14ac:dyDescent="0.25">
      <c r="A90" s="6"/>
      <c r="B90" s="6"/>
      <c r="C90" s="6"/>
      <c r="D90" s="6"/>
      <c r="E90" s="6"/>
      <c r="F90" s="6"/>
      <c r="G90" s="6"/>
      <c r="H90" s="6"/>
    </row>
    <row r="91" spans="1:8" x14ac:dyDescent="0.25">
      <c r="A91" s="6"/>
      <c r="B91" s="6"/>
      <c r="C91" s="6"/>
      <c r="D91" s="6"/>
      <c r="E91" s="6"/>
      <c r="F91" s="6"/>
      <c r="G91" s="6"/>
      <c r="H91" s="6"/>
    </row>
    <row r="92" spans="1:8" x14ac:dyDescent="0.25">
      <c r="A92" s="6"/>
      <c r="B92" s="6"/>
      <c r="C92" s="6"/>
      <c r="D92" s="6"/>
      <c r="E92" s="6"/>
      <c r="F92" s="6"/>
      <c r="G92" s="6"/>
      <c r="H92" s="6"/>
    </row>
    <row r="93" spans="1:8" x14ac:dyDescent="0.25">
      <c r="A93" s="6"/>
      <c r="B93" s="6"/>
      <c r="C93" s="6"/>
      <c r="D93" s="6"/>
      <c r="E93" s="6"/>
      <c r="F93" s="6"/>
      <c r="G93" s="6"/>
      <c r="H93" s="6"/>
    </row>
    <row r="94" spans="1:8" x14ac:dyDescent="0.25">
      <c r="A94" s="6"/>
      <c r="B94" s="6"/>
      <c r="C94" s="6"/>
      <c r="D94" s="6"/>
      <c r="E94" s="6"/>
      <c r="F94" s="6"/>
      <c r="G94" s="6"/>
      <c r="H94" s="6"/>
    </row>
    <row r="95" spans="1:8" x14ac:dyDescent="0.25">
      <c r="A95" s="6"/>
      <c r="B95" s="6"/>
      <c r="C95" s="6"/>
      <c r="D95" s="6"/>
      <c r="E95" s="6"/>
      <c r="F95" s="6"/>
      <c r="G95" s="6"/>
      <c r="H95" s="6"/>
    </row>
    <row r="96" spans="1:8" x14ac:dyDescent="0.25">
      <c r="A96" s="6"/>
      <c r="B96" s="6"/>
      <c r="C96" s="6"/>
      <c r="D96" s="6"/>
      <c r="E96" s="6"/>
      <c r="F96" s="6"/>
      <c r="G96" s="6"/>
      <c r="H96" s="6"/>
    </row>
    <row r="97" spans="1:8" x14ac:dyDescent="0.25">
      <c r="A97" s="6"/>
      <c r="B97" s="6"/>
      <c r="C97" s="6"/>
      <c r="D97" s="6"/>
      <c r="E97" s="6"/>
      <c r="F97" s="6"/>
      <c r="G97" s="6"/>
      <c r="H97" s="6"/>
    </row>
    <row r="98" spans="1:8" x14ac:dyDescent="0.25">
      <c r="A98" s="6"/>
      <c r="B98" s="6"/>
      <c r="C98" s="6"/>
      <c r="D98" s="6"/>
      <c r="E98" s="6"/>
      <c r="F98" s="6"/>
      <c r="G98" s="6"/>
      <c r="H98" s="6"/>
    </row>
    <row r="99" spans="1:8" x14ac:dyDescent="0.25">
      <c r="A99" s="6"/>
      <c r="B99" s="6"/>
      <c r="C99" s="6"/>
      <c r="D99" s="6"/>
      <c r="E99" s="6"/>
      <c r="F99" s="6"/>
      <c r="G99" s="6"/>
      <c r="H99" s="6"/>
    </row>
    <row r="100" spans="1:8" x14ac:dyDescent="0.25">
      <c r="A100" s="6"/>
      <c r="B100" s="6"/>
      <c r="C100" s="6"/>
      <c r="D100" s="6"/>
      <c r="E100" s="6"/>
      <c r="F100" s="6"/>
      <c r="G100" s="6"/>
      <c r="H100" s="6"/>
    </row>
    <row r="101" spans="1:8" x14ac:dyDescent="0.25">
      <c r="A101" s="6"/>
      <c r="B101" s="6"/>
      <c r="C101" s="6"/>
      <c r="D101" s="6"/>
      <c r="E101" s="6"/>
      <c r="F101" s="6"/>
      <c r="G101" s="6"/>
      <c r="H101" s="6"/>
    </row>
    <row r="102" spans="1:8" x14ac:dyDescent="0.25">
      <c r="A102" s="6"/>
      <c r="B102" s="6"/>
      <c r="C102" s="6"/>
      <c r="D102" s="6"/>
      <c r="E102" s="6"/>
      <c r="F102" s="6"/>
      <c r="G102" s="6"/>
      <c r="H102" s="6"/>
    </row>
    <row r="103" spans="1:8" x14ac:dyDescent="0.25">
      <c r="A103" s="6"/>
      <c r="B103" s="6"/>
      <c r="C103" s="6"/>
      <c r="D103" s="6"/>
      <c r="E103" s="6"/>
      <c r="F103" s="6"/>
      <c r="G103" s="6"/>
      <c r="H103" s="6"/>
    </row>
    <row r="104" spans="1:8" x14ac:dyDescent="0.25">
      <c r="A104" s="6"/>
      <c r="B104" s="6"/>
      <c r="C104" s="6"/>
      <c r="D104" s="6"/>
      <c r="E104" s="6"/>
      <c r="F104" s="6"/>
      <c r="G104" s="6"/>
      <c r="H104" s="6"/>
    </row>
    <row r="105" spans="1:8" x14ac:dyDescent="0.25">
      <c r="A105" s="6"/>
      <c r="B105" s="6"/>
      <c r="C105" s="6"/>
      <c r="D105" s="6"/>
      <c r="E105" s="6"/>
      <c r="F105" s="6"/>
      <c r="G105" s="6"/>
      <c r="H105" s="6"/>
    </row>
  </sheetData>
  <sheetProtection password="C6BD" sheet="1" objects="1" scenarios="1"/>
  <mergeCells count="4">
    <mergeCell ref="B73:E7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98" t="s">
        <v>7</v>
      </c>
      <c r="C3" s="98"/>
      <c r="D3" s="98"/>
      <c r="E3" s="98"/>
      <c r="F3" s="98"/>
      <c r="G3" s="98"/>
      <c r="H3" s="98"/>
      <c r="I3" s="1"/>
    </row>
    <row r="4" spans="1:9" ht="15" customHeight="1" x14ac:dyDescent="0.25">
      <c r="A4" s="1"/>
      <c r="B4" s="98"/>
      <c r="C4" s="98"/>
      <c r="D4" s="98"/>
      <c r="E4" s="98"/>
      <c r="F4" s="98"/>
      <c r="G4" s="98"/>
      <c r="H4" s="9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95" t="s">
        <v>92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76" t="s">
        <v>80</v>
      </c>
      <c r="C9" s="77"/>
      <c r="D9" s="77"/>
      <c r="E9" s="77"/>
      <c r="F9" s="78"/>
      <c r="G9" s="37">
        <v>23019911</v>
      </c>
      <c r="H9" s="10" t="s">
        <v>4</v>
      </c>
      <c r="I9" s="1"/>
    </row>
    <row r="10" spans="1:9" x14ac:dyDescent="0.25">
      <c r="A10" s="1"/>
      <c r="B10" s="76" t="s">
        <v>81</v>
      </c>
      <c r="C10" s="77"/>
      <c r="D10" s="77"/>
      <c r="E10" s="77"/>
      <c r="F10" s="78"/>
      <c r="G10" s="37">
        <v>19742234</v>
      </c>
      <c r="H10" s="10" t="s">
        <v>4</v>
      </c>
      <c r="I10" s="1"/>
    </row>
    <row r="11" spans="1:9" x14ac:dyDescent="0.25">
      <c r="A11" s="1"/>
      <c r="B11" s="69" t="s">
        <v>82</v>
      </c>
      <c r="C11" s="70"/>
      <c r="D11" s="70"/>
      <c r="E11" s="70"/>
      <c r="F11" s="71"/>
      <c r="G11" s="33">
        <f>G9-G10</f>
        <v>3277677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95" t="s">
        <v>83</v>
      </c>
      <c r="C14" s="96"/>
      <c r="D14" s="96"/>
      <c r="E14" s="96"/>
      <c r="F14" s="96"/>
      <c r="G14" s="96"/>
      <c r="H14" s="97"/>
      <c r="I14" s="1"/>
    </row>
    <row r="15" spans="1:9" x14ac:dyDescent="0.25">
      <c r="A15" s="1"/>
      <c r="B15" s="76" t="s">
        <v>84</v>
      </c>
      <c r="C15" s="77"/>
      <c r="D15" s="77"/>
      <c r="E15" s="77"/>
      <c r="F15" s="78"/>
      <c r="G15" s="37">
        <v>1198473</v>
      </c>
      <c r="H15" s="10" t="s">
        <v>4</v>
      </c>
      <c r="I15" s="1"/>
    </row>
    <row r="16" spans="1:9" x14ac:dyDescent="0.25">
      <c r="A16" s="1"/>
      <c r="B16" s="76" t="s">
        <v>85</v>
      </c>
      <c r="C16" s="77"/>
      <c r="D16" s="77"/>
      <c r="E16" s="77"/>
      <c r="F16" s="78"/>
      <c r="G16" s="37">
        <v>316500</v>
      </c>
      <c r="H16" s="10" t="s">
        <v>4</v>
      </c>
      <c r="I16" s="1"/>
    </row>
    <row r="17" spans="1:9" x14ac:dyDescent="0.25">
      <c r="A17" s="1"/>
      <c r="B17" s="69" t="s">
        <v>86</v>
      </c>
      <c r="C17" s="70"/>
      <c r="D17" s="70"/>
      <c r="E17" s="70"/>
      <c r="F17" s="71"/>
      <c r="G17" s="33">
        <f>G15-G16</f>
        <v>881973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95" t="s">
        <v>93</v>
      </c>
      <c r="C20" s="96"/>
      <c r="D20" s="96"/>
      <c r="E20" s="96"/>
      <c r="F20" s="96"/>
      <c r="G20" s="96"/>
      <c r="H20" s="97"/>
      <c r="I20" s="1"/>
    </row>
    <row r="21" spans="1:9" x14ac:dyDescent="0.25">
      <c r="A21" s="1"/>
      <c r="B21" s="76" t="s">
        <v>94</v>
      </c>
      <c r="C21" s="77"/>
      <c r="D21" s="77"/>
      <c r="E21" s="77"/>
      <c r="F21" s="78"/>
      <c r="G21" s="37">
        <v>40548</v>
      </c>
      <c r="H21" s="10" t="s">
        <v>4</v>
      </c>
      <c r="I21" s="1"/>
    </row>
    <row r="22" spans="1:9" x14ac:dyDescent="0.25">
      <c r="A22" s="1"/>
      <c r="B22" s="76" t="s">
        <v>96</v>
      </c>
      <c r="C22" s="77"/>
      <c r="D22" s="77"/>
      <c r="E22" s="77"/>
      <c r="F22" s="78"/>
      <c r="G22" s="37">
        <v>47000</v>
      </c>
      <c r="H22" s="10" t="s">
        <v>4</v>
      </c>
      <c r="I22" s="1"/>
    </row>
    <row r="23" spans="1:9" x14ac:dyDescent="0.25">
      <c r="A23" s="1"/>
      <c r="B23" s="69" t="s">
        <v>95</v>
      </c>
      <c r="C23" s="70"/>
      <c r="D23" s="70"/>
      <c r="E23" s="70"/>
      <c r="F23" s="71"/>
      <c r="G23" s="33">
        <f>G21-G22</f>
        <v>-6452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95" t="s">
        <v>87</v>
      </c>
      <c r="C26" s="96"/>
      <c r="D26" s="96"/>
      <c r="E26" s="96"/>
      <c r="F26" s="96"/>
      <c r="G26" s="96"/>
      <c r="H26" s="97"/>
      <c r="I26" s="1"/>
    </row>
    <row r="27" spans="1:9" x14ac:dyDescent="0.25">
      <c r="A27" s="1"/>
      <c r="B27" s="76" t="s">
        <v>88</v>
      </c>
      <c r="C27" s="77"/>
      <c r="D27" s="77"/>
      <c r="E27" s="77"/>
      <c r="F27" s="78"/>
      <c r="G27" s="37">
        <v>342000</v>
      </c>
      <c r="H27" s="10" t="s">
        <v>4</v>
      </c>
      <c r="I27" s="1"/>
    </row>
    <row r="28" spans="1:9" x14ac:dyDescent="0.25">
      <c r="A28" s="1"/>
      <c r="B28" s="76" t="s">
        <v>89</v>
      </c>
      <c r="C28" s="77"/>
      <c r="D28" s="77"/>
      <c r="E28" s="77"/>
      <c r="F28" s="78"/>
      <c r="G28" s="37">
        <v>342000</v>
      </c>
      <c r="H28" s="10" t="s">
        <v>4</v>
      </c>
      <c r="I28" s="1"/>
    </row>
    <row r="29" spans="1:9" x14ac:dyDescent="0.25">
      <c r="A29" s="1"/>
      <c r="B29" s="76" t="s">
        <v>90</v>
      </c>
      <c r="C29" s="77"/>
      <c r="D29" s="77"/>
      <c r="E29" s="77"/>
      <c r="F29" s="78"/>
      <c r="G29" s="20">
        <f>'Fane 7. Gen. inv. i 2015'!F73</f>
        <v>429764.58500000008</v>
      </c>
      <c r="H29" s="10" t="s">
        <v>4</v>
      </c>
      <c r="I29" s="1"/>
    </row>
    <row r="30" spans="1:9" x14ac:dyDescent="0.25">
      <c r="A30" s="1"/>
      <c r="B30" s="69" t="s">
        <v>87</v>
      </c>
      <c r="C30" s="70"/>
      <c r="D30" s="70"/>
      <c r="E30" s="70"/>
      <c r="F30" s="71"/>
      <c r="G30" s="33">
        <f>G29-G27+G29-G28</f>
        <v>175529.17000000016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8:F28"/>
    <mergeCell ref="B29:F29"/>
    <mergeCell ref="B30:F30"/>
    <mergeCell ref="B21:F21"/>
    <mergeCell ref="B22:F22"/>
    <mergeCell ref="B23:F23"/>
    <mergeCell ref="B26:H26"/>
    <mergeCell ref="B27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2.2. Økonomisk ramme 2018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2016-12-13T17:19:03Z</dcterms:modified>
</cp:coreProperties>
</file>