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8800" yWindow="15" windowWidth="20730" windowHeight="11760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45621"/>
</workbook>
</file>

<file path=xl/calcChain.xml><?xml version="1.0" encoding="utf-8"?>
<calcChain xmlns="http://schemas.openxmlformats.org/spreadsheetml/2006/main">
  <c r="G13" i="9" l="1"/>
  <c r="E18" i="4" l="1"/>
  <c r="G10" i="9"/>
  <c r="G30" i="13"/>
  <c r="G36" i="13"/>
  <c r="F19" i="11" l="1"/>
  <c r="F18" i="11"/>
  <c r="F17" i="11"/>
  <c r="F16" i="11"/>
  <c r="F15" i="11"/>
  <c r="E10" i="2" l="1"/>
  <c r="E12" i="4" s="1"/>
  <c r="E35" i="13" l="1"/>
  <c r="G35" i="13" s="1"/>
  <c r="E27" i="13"/>
  <c r="E19" i="13"/>
  <c r="E15" i="13"/>
  <c r="G11" i="12"/>
  <c r="G23" i="12"/>
  <c r="E19" i="2" s="1"/>
  <c r="G17" i="12"/>
  <c r="E18" i="2" s="1"/>
  <c r="F11" i="11"/>
  <c r="F12" i="11"/>
  <c r="F13" i="11"/>
  <c r="F14" i="11"/>
  <c r="F20" i="11"/>
  <c r="F10" i="11"/>
  <c r="F21" i="11" s="1"/>
  <c r="G29" i="12" s="1"/>
  <c r="G13" i="10"/>
  <c r="E15" i="2" s="1"/>
  <c r="G15" i="2" s="1"/>
  <c r="G12" i="9"/>
  <c r="G14" i="9" s="1"/>
  <c r="G9" i="9"/>
  <c r="G11" i="9" s="1"/>
  <c r="G12" i="7"/>
  <c r="G18" i="4"/>
  <c r="E23" i="2"/>
  <c r="G23" i="2" s="1"/>
  <c r="E17" i="2"/>
  <c r="E11" i="4" l="1"/>
  <c r="E15" i="4"/>
  <c r="E10" i="4"/>
  <c r="E9" i="2"/>
  <c r="G9" i="8"/>
  <c r="G11" i="8" s="1"/>
  <c r="E11" i="2" s="1"/>
  <c r="E28" i="13"/>
  <c r="G28" i="13" s="1"/>
  <c r="G30" i="12"/>
  <c r="E20" i="2" s="1"/>
  <c r="E21" i="2" s="1"/>
  <c r="G21" i="2" s="1"/>
  <c r="G15" i="9"/>
  <c r="E12" i="2" s="1"/>
  <c r="E9" i="4" l="1"/>
  <c r="E13" i="2"/>
  <c r="G13" i="2" s="1"/>
  <c r="G24" i="2" s="1"/>
  <c r="E13" i="4" l="1"/>
  <c r="E14" i="4"/>
  <c r="E16" i="4" l="1"/>
  <c r="G16" i="4"/>
  <c r="G19" i="4" s="1"/>
</calcChain>
</file>

<file path=xl/sharedStrings.xml><?xml version="1.0" encoding="utf-8"?>
<sst xmlns="http://schemas.openxmlformats.org/spreadsheetml/2006/main" count="248" uniqueCount="127">
  <si>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</si>
  <si>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</si>
  <si>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</si>
  <si>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</si>
  <si>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</si>
  <si>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</si>
  <si>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</si>
  <si>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</si>
  <si>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</si>
  <si>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</si>
  <si>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</si>
  <si>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</si>
  <si>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</si>
  <si>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</si>
  <si>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</si>
  <si>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</si>
  <si>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</si>
  <si>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</si>
  <si>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</si>
  <si>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</si>
  <si>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</si>
  <si>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</si>
  <si>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</si>
  <si>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</si>
  <si>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</si>
  <si>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</si>
  <si>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</si>
  <si>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</si>
  <si>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</si>
  <si>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</si>
  <si>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</si>
  <si>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</si>
  <si>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</si>
  <si>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</si>
  <si>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</si>
  <si>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</si>
  <si>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</si>
  <si>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</si>
  <si>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</si>
  <si>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</si>
  <si>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</si>
  <si>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</si>
  <si>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</si>
  <si>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</si>
  <si>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</si>
  <si>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</si>
  <si>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</si>
  <si>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</si>
  <si>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</si>
  <si>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</si>
  <si>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</si>
  <si>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</si>
  <si>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</si>
  <si>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</si>
  <si>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</si>
  <si>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</si>
  <si>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</si>
  <si>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</si>
  <si>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</si>
  <si>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</si>
  <si>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</si>
  <si>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</si>
  <si>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</si>
  <si>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</si>
  <si>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</si>
  <si>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</si>
  <si>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</si>
  <si>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</si>
  <si>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</si>
  <si>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</si>
  <si>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</si>
  <si>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</si>
  <si>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</si>
  <si>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</si>
  <si>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</si>
  <si>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</si>
  <si>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</si>
  <si>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</si>
  <si>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</si>
  <si>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</si>
  <si>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</si>
  <si>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</si>
  <si>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</si>
  <si>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</si>
  <si>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</si>
  <si>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</si>
  <si>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</si>
  <si>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</si>
  <si>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</si>
  <si>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</si>
  <si>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</si>
  <si>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</si>
  <si>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</si>
  <si>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</si>
  <si>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</si>
  <si>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</si>
  <si>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</si>
  <si>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</si>
  <si>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</si>
  <si>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</si>
  <si>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</si>
  <si>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</si>
  <si>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</si>
  <si>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</si>
  <si>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</si>
  <si>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</si>
  <si>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</si>
  <si>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</si>
  <si>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</si>
  <si>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</si>
  <si>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</si>
  <si>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</si>
  <si>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</si>
  <si>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Råvandsstationer</t>
  </si>
  <si>
    <t>Beluftningsanlæg, bundbeluftbning, Mek./EL</t>
  </si>
  <si>
    <t>Filteranlæg, åbne filtre, enkelt filtrering, Kontruktioner</t>
  </si>
  <si>
    <t>Pumpe inkl. stigrør og forerørsforsejlinger mv.</t>
  </si>
  <si>
    <t>Afregningsmålere, elektroniske ≤ Ø 110mm (Qn 10)</t>
  </si>
  <si>
    <t>Ledningsnet ≤ Ø50 mm</t>
  </si>
  <si>
    <t>Stik på ledningsnet, Konstruktioner</t>
  </si>
  <si>
    <t>Stik på ledningsnet, Mek./EL</t>
  </si>
  <si>
    <t>Ø110 mm &lt; Ledningsnet ≤ Ø 250 mm</t>
  </si>
  <si>
    <t>Køretøjer, små lastvogne (&lt; 3.500 kg.)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</si>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</sst>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0.0"/>
  </numFmts>
  <fonts count="4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165" fontId="13" fillId="0" borderId="0" applyFont="0" applyFill="0" applyBorder="0" applyAlignment="0" applyProtection="0"/>
    <xf numFmtId="0" fontId="14" fillId="0" borderId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16" applyNumberFormat="0" applyAlignment="0" applyProtection="0"/>
    <xf numFmtId="0" fontId="21" fillId="15" borderId="17" applyNumberFormat="0" applyAlignment="0" applyProtection="0"/>
    <xf numFmtId="0" fontId="22" fillId="0" borderId="18" applyNumberFormat="0" applyFill="0" applyAlignment="0" applyProtection="0"/>
    <xf numFmtId="0" fontId="23" fillId="16" borderId="19" applyNumberFormat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7" fontId="14" fillId="0" borderId="0"/>
    <xf numFmtId="37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39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9" fontId="29" fillId="0" borderId="0" applyFill="0" applyBorder="0" applyProtection="0">
      <alignment horizontal="center"/>
    </xf>
    <xf numFmtId="37" fontId="29" fillId="0" borderId="22" applyFill="0" applyAlignment="0" applyProtection="0"/>
    <xf numFmtId="166" fontId="29" fillId="0" borderId="22" applyFill="0" applyAlignment="0" applyProtection="0"/>
    <xf numFmtId="168" fontId="29" fillId="0" borderId="22" applyFill="0" applyAlignment="0" applyProtection="0"/>
    <xf numFmtId="169" fontId="29" fillId="0" borderId="22" applyFill="0" applyAlignment="0" applyProtection="0"/>
    <xf numFmtId="43" fontId="14" fillId="0" borderId="0" applyFont="0" applyFill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2" fillId="53" borderId="23" applyNumberFormat="0" applyAlignment="0" applyProtection="0"/>
    <xf numFmtId="0" fontId="33" fillId="41" borderId="0" applyNumberFormat="0" applyBorder="0" applyAlignment="0" applyProtection="0"/>
    <xf numFmtId="0" fontId="34" fillId="44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5" fillId="54" borderId="0" applyNumberFormat="0" applyBorder="0" applyAlignment="0" applyProtection="0"/>
    <xf numFmtId="0" fontId="14" fillId="55" borderId="24" applyNumberFormat="0" applyFont="0" applyAlignment="0" applyProtection="0"/>
    <xf numFmtId="0" fontId="36" fillId="53" borderId="25" applyNumberFormat="0" applyAlignment="0" applyProtection="0"/>
    <xf numFmtId="9" fontId="2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39" fillId="0" borderId="0" applyNumberFormat="0" applyFill="0" applyBorder="0" applyAlignment="0" applyProtection="0"/>
    <xf numFmtId="0" fontId="26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40" fillId="0" borderId="0" applyNumberFormat="0" applyFill="0" applyBorder="0" applyAlignment="0" applyProtection="0"/>
  </cellStyleXfs>
  <cellXfs count="100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1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 applyProtection="1">
      <protection locked="0"/>
    </xf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11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  <protection locked="0"/>
    </xf>
    <xf numFmtId="171" fontId="8" fillId="10" borderId="1" xfId="0" applyNumberFormat="1" applyFont="1" applyFill="1" applyBorder="1"/>
    <xf numFmtId="2" fontId="8" fillId="10" borderId="1" xfId="0" applyNumberFormat="1" applyFont="1" applyFill="1" applyBorder="1"/>
    <xf numFmtId="2" fontId="8" fillId="10" borderId="1" xfId="0" applyNumberFormat="1" applyFont="1" applyFill="1" applyBorder="1" applyProtection="1">
      <protection locked="0"/>
    </xf>
    <xf numFmtId="0" fontId="4" fillId="2" borderId="0" xfId="0" applyFont="1" applyFill="1" applyAlignment="1">
      <alignment horizontal="center" vertical="center"/>
    </xf>
    <xf numFmtId="0" fontId="41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1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1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8" fillId="10" borderId="11" xfId="0" quotePrefix="1" applyFont="1" applyFill="1" applyBorder="1" applyAlignment="1">
      <alignment horizontal="left"/>
    </xf>
    <xf numFmtId="0" fontId="8" fillId="10" borderId="3" xfId="0" quotePrefix="1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0" fontId="10" fillId="10" borderId="11" xfId="0" applyFont="1" applyFill="1" applyBorder="1" applyAlignment="1">
      <alignment horizontal="left"/>
    </xf>
    <xf numFmtId="0" fontId="10" fillId="10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5" t="s">
        <v>11</v>
      </c>
      <c r="E6" s="45"/>
      <c r="F6" s="45"/>
      <c r="G6" s="45"/>
      <c r="H6" s="4"/>
      <c r="I6" s="1"/>
    </row>
    <row r="7" spans="1:9" ht="15" customHeight="1" x14ac:dyDescent="0.25">
      <c r="A7" s="1"/>
      <c r="B7" s="1"/>
      <c r="C7" s="4"/>
      <c r="D7" s="45"/>
      <c r="E7" s="45"/>
      <c r="F7" s="45"/>
      <c r="G7" s="45"/>
      <c r="H7" s="4"/>
      <c r="I7" s="1"/>
    </row>
    <row r="8" spans="1:9" ht="15.75" x14ac:dyDescent="0.25">
      <c r="A8" s="1"/>
      <c r="B8" s="1"/>
      <c r="C8" s="5"/>
      <c r="D8" s="53" t="s">
        <v>112</v>
      </c>
      <c r="E8" s="53"/>
      <c r="F8" s="53"/>
      <c r="G8" s="53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2" t="s">
        <v>12</v>
      </c>
      <c r="E11" s="52"/>
      <c r="F11" s="52"/>
      <c r="G11" s="52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3" t="s">
        <v>23</v>
      </c>
      <c r="E13" s="64"/>
      <c r="F13" s="64"/>
      <c r="G13" s="65"/>
      <c r="H13" s="1"/>
      <c r="I13" s="1"/>
    </row>
    <row r="14" spans="1:9" x14ac:dyDescent="0.25">
      <c r="A14" s="1"/>
      <c r="B14" s="1"/>
      <c r="C14" s="3" t="s">
        <v>14</v>
      </c>
      <c r="D14" s="66" t="s">
        <v>22</v>
      </c>
      <c r="E14" s="67"/>
      <c r="F14" s="67"/>
      <c r="G14" s="68"/>
      <c r="H14" s="1"/>
      <c r="I14" s="1"/>
    </row>
    <row r="15" spans="1:9" x14ac:dyDescent="0.25">
      <c r="A15" s="1"/>
      <c r="B15" s="1"/>
      <c r="C15" s="3" t="s">
        <v>15</v>
      </c>
      <c r="D15" s="54" t="s">
        <v>24</v>
      </c>
      <c r="E15" s="55"/>
      <c r="F15" s="55"/>
      <c r="G15" s="56"/>
      <c r="H15" s="1"/>
      <c r="I15" s="1"/>
    </row>
    <row r="16" spans="1:9" x14ac:dyDescent="0.25">
      <c r="A16" s="1"/>
      <c r="B16" s="1"/>
      <c r="C16" s="3" t="s">
        <v>16</v>
      </c>
      <c r="D16" s="57" t="s">
        <v>25</v>
      </c>
      <c r="E16" s="58"/>
      <c r="F16" s="58"/>
      <c r="G16" s="59"/>
      <c r="H16" s="1"/>
      <c r="I16" s="1"/>
    </row>
    <row r="17" spans="1:9" x14ac:dyDescent="0.25">
      <c r="A17" s="1"/>
      <c r="B17" s="1"/>
      <c r="C17" s="3" t="s">
        <v>17</v>
      </c>
      <c r="D17" s="57" t="s">
        <v>26</v>
      </c>
      <c r="E17" s="58"/>
      <c r="F17" s="58"/>
      <c r="G17" s="59"/>
      <c r="H17" s="1"/>
      <c r="I17" s="1"/>
    </row>
    <row r="18" spans="1:9" x14ac:dyDescent="0.25">
      <c r="A18" s="1"/>
      <c r="B18" s="1"/>
      <c r="C18" s="3" t="s">
        <v>18</v>
      </c>
      <c r="D18" s="60" t="s">
        <v>32</v>
      </c>
      <c r="E18" s="61"/>
      <c r="F18" s="61"/>
      <c r="G18" s="62"/>
      <c r="H18" s="1"/>
      <c r="I18" s="1"/>
    </row>
    <row r="19" spans="1:9" x14ac:dyDescent="0.25">
      <c r="A19" s="1"/>
      <c r="B19" s="1"/>
      <c r="C19" s="3" t="s">
        <v>19</v>
      </c>
      <c r="D19" s="46" t="s">
        <v>5</v>
      </c>
      <c r="E19" s="47"/>
      <c r="F19" s="47"/>
      <c r="G19" s="48"/>
      <c r="H19" s="1"/>
      <c r="I19" s="1"/>
    </row>
    <row r="20" spans="1:9" x14ac:dyDescent="0.25">
      <c r="A20" s="1"/>
      <c r="B20" s="1"/>
      <c r="C20" s="3" t="s">
        <v>20</v>
      </c>
      <c r="D20" s="46" t="s">
        <v>28</v>
      </c>
      <c r="E20" s="47"/>
      <c r="F20" s="47"/>
      <c r="G20" s="48"/>
      <c r="H20" s="1"/>
      <c r="I20" s="1"/>
    </row>
    <row r="21" spans="1:9" x14ac:dyDescent="0.25">
      <c r="A21" s="1"/>
      <c r="B21" s="1"/>
      <c r="C21" s="3" t="s">
        <v>21</v>
      </c>
      <c r="D21" s="49" t="s">
        <v>29</v>
      </c>
      <c r="E21" s="50"/>
      <c r="F21" s="50"/>
      <c r="G21" s="5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8" t="s">
        <v>6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45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83" t="s">
        <v>47</v>
      </c>
      <c r="C9" s="84"/>
      <c r="D9" s="84"/>
      <c r="E9" s="84"/>
      <c r="F9" s="85"/>
      <c r="G9" s="35">
        <v>16031202</v>
      </c>
      <c r="H9" s="16" t="s">
        <v>4</v>
      </c>
      <c r="I9" s="1"/>
    </row>
    <row r="10" spans="1:9" x14ac:dyDescent="0.25">
      <c r="A10" s="1"/>
      <c r="B10" s="69" t="s">
        <v>48</v>
      </c>
      <c r="C10" s="70"/>
      <c r="D10" s="70"/>
      <c r="E10" s="70"/>
      <c r="F10" s="70"/>
      <c r="G10" s="70"/>
      <c r="H10" s="71"/>
      <c r="I10" s="1"/>
    </row>
    <row r="11" spans="1:9" x14ac:dyDescent="0.25">
      <c r="A11" s="1"/>
      <c r="B11" s="79" t="s">
        <v>49</v>
      </c>
      <c r="C11" s="80"/>
      <c r="D11" s="81"/>
      <c r="E11" s="37">
        <v>3849977</v>
      </c>
      <c r="F11" s="10" t="s">
        <v>4</v>
      </c>
      <c r="G11" s="19"/>
      <c r="H11" s="25"/>
      <c r="I11" s="1"/>
    </row>
    <row r="12" spans="1:9" x14ac:dyDescent="0.25">
      <c r="A12" s="1"/>
      <c r="B12" s="79" t="s">
        <v>50</v>
      </c>
      <c r="C12" s="80"/>
      <c r="D12" s="81"/>
      <c r="E12" s="37">
        <v>394816</v>
      </c>
      <c r="F12" s="10" t="s">
        <v>4</v>
      </c>
      <c r="G12" s="13"/>
      <c r="H12" s="26"/>
      <c r="I12" s="1"/>
    </row>
    <row r="13" spans="1:9" x14ac:dyDescent="0.25">
      <c r="A13" s="1"/>
      <c r="B13" s="79" t="s">
        <v>51</v>
      </c>
      <c r="C13" s="80"/>
      <c r="D13" s="81"/>
      <c r="E13" s="37">
        <v>79405</v>
      </c>
      <c r="F13" s="10" t="s">
        <v>4</v>
      </c>
      <c r="G13" s="13"/>
      <c r="H13" s="26"/>
      <c r="I13" s="1"/>
    </row>
    <row r="14" spans="1:9" x14ac:dyDescent="0.25">
      <c r="A14" s="1"/>
      <c r="B14" s="79" t="s">
        <v>52</v>
      </c>
      <c r="C14" s="80"/>
      <c r="D14" s="81"/>
      <c r="E14" s="37">
        <v>753125</v>
      </c>
      <c r="F14" s="10" t="s">
        <v>4</v>
      </c>
      <c r="G14" s="13"/>
      <c r="H14" s="26"/>
      <c r="I14" s="1"/>
    </row>
    <row r="15" spans="1:9" x14ac:dyDescent="0.25">
      <c r="A15" s="1"/>
      <c r="B15" s="83" t="s">
        <v>53</v>
      </c>
      <c r="C15" s="84"/>
      <c r="D15" s="85"/>
      <c r="E15" s="32">
        <f>SUM(E11:E14)</f>
        <v>5077323</v>
      </c>
      <c r="F15" s="16" t="s">
        <v>4</v>
      </c>
      <c r="G15" s="13"/>
      <c r="H15" s="26"/>
      <c r="I15" s="1"/>
    </row>
    <row r="16" spans="1:9" x14ac:dyDescent="0.25">
      <c r="A16" s="1"/>
      <c r="B16" s="79" t="s">
        <v>54</v>
      </c>
      <c r="C16" s="80"/>
      <c r="D16" s="81"/>
      <c r="E16" s="37">
        <v>1141200</v>
      </c>
      <c r="F16" s="10" t="s">
        <v>4</v>
      </c>
      <c r="G16" s="13"/>
      <c r="H16" s="26"/>
      <c r="I16" s="1"/>
    </row>
    <row r="17" spans="1:9" x14ac:dyDescent="0.25">
      <c r="A17" s="1"/>
      <c r="B17" s="79" t="s">
        <v>55</v>
      </c>
      <c r="C17" s="80"/>
      <c r="D17" s="81"/>
      <c r="E17" s="37">
        <v>33404</v>
      </c>
      <c r="F17" s="10" t="s">
        <v>4</v>
      </c>
      <c r="G17" s="13"/>
      <c r="H17" s="26"/>
      <c r="I17" s="1"/>
    </row>
    <row r="18" spans="1:9" x14ac:dyDescent="0.25">
      <c r="A18" s="1"/>
      <c r="B18" s="79" t="s">
        <v>56</v>
      </c>
      <c r="C18" s="80"/>
      <c r="D18" s="81"/>
      <c r="E18" s="37">
        <v>0</v>
      </c>
      <c r="F18" s="10" t="s">
        <v>4</v>
      </c>
      <c r="G18" s="13"/>
      <c r="H18" s="26"/>
      <c r="I18" s="1"/>
    </row>
    <row r="19" spans="1:9" x14ac:dyDescent="0.25">
      <c r="A19" s="1"/>
      <c r="B19" s="83" t="s">
        <v>57</v>
      </c>
      <c r="C19" s="84"/>
      <c r="D19" s="85"/>
      <c r="E19" s="32">
        <f>SUM(E16:E18)</f>
        <v>1174604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2" t="s">
        <v>58</v>
      </c>
      <c r="C20" s="73"/>
      <c r="D20" s="74"/>
      <c r="E20" s="37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2" t="s">
        <v>59</v>
      </c>
      <c r="C21" s="73"/>
      <c r="D21" s="74"/>
      <c r="E21" s="37">
        <v>-5254463</v>
      </c>
      <c r="F21" s="10" t="s">
        <v>4</v>
      </c>
      <c r="G21" s="13"/>
      <c r="H21" s="26"/>
      <c r="I21" s="1"/>
    </row>
    <row r="22" spans="1:9" x14ac:dyDescent="0.25">
      <c r="A22" s="1"/>
      <c r="B22" s="79" t="s">
        <v>60</v>
      </c>
      <c r="C22" s="80"/>
      <c r="D22" s="81"/>
      <c r="E22" s="37">
        <v>0</v>
      </c>
      <c r="F22" s="10" t="s">
        <v>4</v>
      </c>
      <c r="G22" s="13"/>
      <c r="H22" s="26"/>
      <c r="I22" s="1"/>
    </row>
    <row r="23" spans="1:9" x14ac:dyDescent="0.25">
      <c r="A23" s="1"/>
      <c r="B23" s="79" t="s">
        <v>61</v>
      </c>
      <c r="C23" s="80"/>
      <c r="D23" s="81"/>
      <c r="E23" s="37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2" t="s">
        <v>62</v>
      </c>
      <c r="C24" s="73"/>
      <c r="D24" s="74"/>
      <c r="E24" s="37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2" t="s">
        <v>63</v>
      </c>
      <c r="C25" s="73"/>
      <c r="D25" s="74"/>
      <c r="E25" s="37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2" t="s">
        <v>64</v>
      </c>
      <c r="C26" s="73"/>
      <c r="D26" s="74"/>
      <c r="E26" s="37">
        <v>0</v>
      </c>
      <c r="F26" s="10" t="s">
        <v>4</v>
      </c>
      <c r="G26" s="13"/>
      <c r="H26" s="26"/>
      <c r="I26" s="1"/>
    </row>
    <row r="27" spans="1:9" x14ac:dyDescent="0.25">
      <c r="A27" s="1"/>
      <c r="B27" s="83" t="s">
        <v>65</v>
      </c>
      <c r="C27" s="84"/>
      <c r="D27" s="85"/>
      <c r="E27" s="32">
        <f>SUM(E20:E26)</f>
        <v>-5254463</v>
      </c>
      <c r="F27" s="16" t="s">
        <v>4</v>
      </c>
      <c r="G27" s="14"/>
      <c r="H27" s="27"/>
      <c r="I27" s="1"/>
    </row>
    <row r="28" spans="1:9" x14ac:dyDescent="0.25">
      <c r="A28" s="1"/>
      <c r="B28" s="83" t="s">
        <v>66</v>
      </c>
      <c r="C28" s="84"/>
      <c r="D28" s="85"/>
      <c r="E28" s="32">
        <f>E15+E19+E27</f>
        <v>997464</v>
      </c>
      <c r="F28" s="16" t="s">
        <v>4</v>
      </c>
      <c r="G28" s="31">
        <f>IF(E28&lt;0,0,-E28)</f>
        <v>-997464</v>
      </c>
      <c r="H28" s="16" t="s">
        <v>4</v>
      </c>
      <c r="I28" s="1"/>
    </row>
    <row r="29" spans="1:9" x14ac:dyDescent="0.25">
      <c r="A29" s="1"/>
      <c r="B29" s="69" t="s">
        <v>67</v>
      </c>
      <c r="C29" s="70"/>
      <c r="D29" s="70"/>
      <c r="E29" s="70"/>
      <c r="F29" s="70"/>
      <c r="G29" s="70"/>
      <c r="H29" s="71"/>
      <c r="I29" s="1"/>
    </row>
    <row r="30" spans="1:9" x14ac:dyDescent="0.25">
      <c r="A30" s="1"/>
      <c r="B30" s="83" t="s">
        <v>67</v>
      </c>
      <c r="C30" s="84"/>
      <c r="D30" s="85"/>
      <c r="E30" s="35">
        <v>0</v>
      </c>
      <c r="F30" s="16" t="s">
        <v>4</v>
      </c>
      <c r="G30" s="32">
        <f>-$E$30</f>
        <v>0</v>
      </c>
      <c r="H30" s="16" t="s">
        <v>4</v>
      </c>
      <c r="I30" s="1"/>
    </row>
    <row r="31" spans="1:9" x14ac:dyDescent="0.25">
      <c r="A31" s="1"/>
      <c r="B31" s="99" t="s">
        <v>124</v>
      </c>
      <c r="C31" s="70"/>
      <c r="D31" s="70"/>
      <c r="E31" s="70"/>
      <c r="F31" s="70"/>
      <c r="G31" s="70"/>
      <c r="H31" s="71"/>
      <c r="I31" s="1"/>
    </row>
    <row r="32" spans="1:9" ht="30" customHeight="1" x14ac:dyDescent="0.25">
      <c r="A32" s="1"/>
      <c r="B32" s="72" t="s">
        <v>125</v>
      </c>
      <c r="C32" s="73"/>
      <c r="D32" s="74"/>
      <c r="E32" s="37">
        <v>13161899</v>
      </c>
      <c r="F32" s="10" t="s">
        <v>4</v>
      </c>
      <c r="G32" s="19"/>
      <c r="H32" s="25"/>
      <c r="I32" s="1"/>
    </row>
    <row r="33" spans="1:9" x14ac:dyDescent="0.25">
      <c r="A33" s="1"/>
      <c r="B33" s="79" t="s">
        <v>68</v>
      </c>
      <c r="C33" s="80"/>
      <c r="D33" s="81"/>
      <c r="E33" s="37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2" t="s">
        <v>69</v>
      </c>
      <c r="C34" s="73"/>
      <c r="D34" s="74"/>
      <c r="E34" s="37">
        <v>231699</v>
      </c>
      <c r="F34" s="10" t="s">
        <v>4</v>
      </c>
      <c r="G34" s="14"/>
      <c r="H34" s="27"/>
      <c r="I34" s="1"/>
    </row>
    <row r="35" spans="1:9" x14ac:dyDescent="0.25">
      <c r="A35" s="1"/>
      <c r="B35" s="83" t="s">
        <v>70</v>
      </c>
      <c r="C35" s="84"/>
      <c r="D35" s="85"/>
      <c r="E35" s="32">
        <f>SUM(E32:E34)</f>
        <v>13393598</v>
      </c>
      <c r="F35" s="16" t="s">
        <v>4</v>
      </c>
      <c r="G35" s="32">
        <f>-E35</f>
        <v>-13393598</v>
      </c>
      <c r="H35" s="16" t="s">
        <v>4</v>
      </c>
      <c r="I35" s="1"/>
    </row>
    <row r="36" spans="1:9" x14ac:dyDescent="0.25">
      <c r="A36" s="1"/>
      <c r="B36" s="69" t="s">
        <v>46</v>
      </c>
      <c r="C36" s="70"/>
      <c r="D36" s="70"/>
      <c r="E36" s="70"/>
      <c r="F36" s="71"/>
      <c r="G36" s="33">
        <f>$G$9+$G$28+$G$30+$G$35</f>
        <v>1640140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126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109</v>
      </c>
      <c r="C8" s="70"/>
      <c r="D8" s="70"/>
      <c r="E8" s="70"/>
      <c r="F8" s="70"/>
      <c r="G8" s="70"/>
      <c r="H8" s="71"/>
      <c r="I8" s="1"/>
    </row>
    <row r="9" spans="1:9" ht="30" customHeight="1" x14ac:dyDescent="0.25">
      <c r="A9" s="1"/>
      <c r="B9" s="72" t="s">
        <v>31</v>
      </c>
      <c r="C9" s="73"/>
      <c r="D9" s="74"/>
      <c r="E9" s="34">
        <f>'Fane 3. Grundlag'!G12</f>
        <v>15717965.633336052</v>
      </c>
      <c r="F9" s="7" t="s">
        <v>4</v>
      </c>
      <c r="G9" s="8"/>
      <c r="H9" s="9"/>
      <c r="I9" s="1"/>
    </row>
    <row r="10" spans="1:9" x14ac:dyDescent="0.25">
      <c r="A10" s="1"/>
      <c r="B10" s="82" t="s">
        <v>97</v>
      </c>
      <c r="C10" s="80"/>
      <c r="D10" s="81"/>
      <c r="E10" s="20">
        <f>'Fane 3. Grundlag'!G11</f>
        <v>5917698.3240502393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25</v>
      </c>
      <c r="C11" s="80"/>
      <c r="D11" s="81"/>
      <c r="E11" s="20">
        <f>'Fane 4. Individuelt eff.krav'!G11</f>
        <v>75738.382715183092</v>
      </c>
      <c r="F11" s="7" t="s">
        <v>4</v>
      </c>
      <c r="G11" s="13"/>
      <c r="H11" s="12"/>
      <c r="I11" s="1"/>
    </row>
    <row r="12" spans="1:9" x14ac:dyDescent="0.25">
      <c r="A12" s="1"/>
      <c r="B12" s="79" t="s">
        <v>26</v>
      </c>
      <c r="C12" s="80"/>
      <c r="D12" s="81"/>
      <c r="E12" s="20">
        <f>'Fane 5. Generelt eff.krav'!G15</f>
        <v>137102.16294699954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2">
        <f>$E$9-$E$11-$E$12</f>
        <v>15505125.087673871</v>
      </c>
      <c r="F13" s="17" t="s">
        <v>4</v>
      </c>
      <c r="G13" s="32">
        <f>E13</f>
        <v>15505125.087673871</v>
      </c>
      <c r="H13" s="17" t="s">
        <v>4</v>
      </c>
      <c r="I13" s="1"/>
    </row>
    <row r="14" spans="1:9" x14ac:dyDescent="0.25">
      <c r="A14" s="1"/>
      <c r="B14" s="69" t="s">
        <v>32</v>
      </c>
      <c r="C14" s="70"/>
      <c r="D14" s="70"/>
      <c r="E14" s="70"/>
      <c r="F14" s="70"/>
      <c r="G14" s="70"/>
      <c r="H14" s="71"/>
      <c r="I14" s="1"/>
    </row>
    <row r="15" spans="1:9" x14ac:dyDescent="0.25">
      <c r="A15" s="1"/>
      <c r="B15" s="75" t="s">
        <v>108</v>
      </c>
      <c r="C15" s="76"/>
      <c r="D15" s="77"/>
      <c r="E15" s="32">
        <f>'Fane 6. Hist. over el. underdæk'!G13</f>
        <v>-372027</v>
      </c>
      <c r="F15" s="17" t="s">
        <v>4</v>
      </c>
      <c r="G15" s="32">
        <f>E15</f>
        <v>-372027</v>
      </c>
      <c r="H15" s="17" t="s">
        <v>4</v>
      </c>
      <c r="I15" s="1"/>
    </row>
    <row r="16" spans="1:9" x14ac:dyDescent="0.25">
      <c r="A16" s="1"/>
      <c r="B16" s="69" t="s">
        <v>28</v>
      </c>
      <c r="C16" s="70"/>
      <c r="D16" s="70"/>
      <c r="E16" s="70"/>
      <c r="F16" s="70"/>
      <c r="G16" s="70"/>
      <c r="H16" s="71"/>
      <c r="I16" s="1"/>
    </row>
    <row r="17" spans="1:9" x14ac:dyDescent="0.25">
      <c r="A17" s="1"/>
      <c r="B17" s="72" t="s">
        <v>35</v>
      </c>
      <c r="C17" s="73"/>
      <c r="D17" s="74"/>
      <c r="E17" s="20">
        <f>'Fane 8. Korrektion af PL2015'!G11</f>
        <v>356321</v>
      </c>
      <c r="F17" s="7" t="s">
        <v>4</v>
      </c>
      <c r="G17" s="19"/>
      <c r="H17" s="9"/>
      <c r="I17" s="1"/>
    </row>
    <row r="18" spans="1:9" x14ac:dyDescent="0.25">
      <c r="A18" s="1"/>
      <c r="B18" s="72" t="s">
        <v>36</v>
      </c>
      <c r="C18" s="73"/>
      <c r="D18" s="74"/>
      <c r="E18" s="20">
        <f>'Fane 8. Korrektion af PL2015'!G17</f>
        <v>-58438</v>
      </c>
      <c r="F18" s="7" t="s">
        <v>4</v>
      </c>
      <c r="G18" s="13"/>
      <c r="H18" s="12"/>
      <c r="I18" s="1"/>
    </row>
    <row r="19" spans="1:9" ht="30" customHeight="1" x14ac:dyDescent="0.25">
      <c r="A19" s="1"/>
      <c r="B19" s="72" t="s">
        <v>98</v>
      </c>
      <c r="C19" s="73"/>
      <c r="D19" s="74"/>
      <c r="E19" s="20">
        <f>'Fane 8. Korrektion af PL2015'!G23</f>
        <v>0</v>
      </c>
      <c r="F19" s="7" t="s">
        <v>4</v>
      </c>
      <c r="G19" s="11"/>
      <c r="H19" s="12"/>
      <c r="I19" s="1"/>
    </row>
    <row r="20" spans="1:9" ht="28.5" customHeight="1" x14ac:dyDescent="0.25">
      <c r="A20" s="1"/>
      <c r="B20" s="72" t="s">
        <v>37</v>
      </c>
      <c r="C20" s="73"/>
      <c r="D20" s="74"/>
      <c r="E20" s="20">
        <f>'Fane 8. Korrektion af PL2015'!G30</f>
        <v>-23379.893333333428</v>
      </c>
      <c r="F20" s="7" t="s">
        <v>4</v>
      </c>
      <c r="G20" s="14"/>
      <c r="H20" s="15"/>
      <c r="I20" s="1"/>
    </row>
    <row r="21" spans="1:9" x14ac:dyDescent="0.25">
      <c r="A21" s="1"/>
      <c r="B21" s="75" t="s">
        <v>38</v>
      </c>
      <c r="C21" s="76"/>
      <c r="D21" s="77"/>
      <c r="E21" s="32">
        <f>SUM(E17:E20)</f>
        <v>274503.10666666657</v>
      </c>
      <c r="F21" s="17" t="s">
        <v>4</v>
      </c>
      <c r="G21" s="32">
        <f>E21</f>
        <v>274503.10666666657</v>
      </c>
      <c r="H21" s="17" t="s">
        <v>4</v>
      </c>
      <c r="I21" s="1"/>
    </row>
    <row r="22" spans="1:9" x14ac:dyDescent="0.25">
      <c r="A22" s="1"/>
      <c r="B22" s="69" t="s">
        <v>33</v>
      </c>
      <c r="C22" s="70"/>
      <c r="D22" s="70"/>
      <c r="E22" s="70"/>
      <c r="F22" s="70"/>
      <c r="G22" s="70"/>
      <c r="H22" s="71"/>
      <c r="I22" s="1"/>
    </row>
    <row r="23" spans="1:9" x14ac:dyDescent="0.25">
      <c r="A23" s="1"/>
      <c r="B23" s="75" t="s">
        <v>34</v>
      </c>
      <c r="C23" s="76"/>
      <c r="D23" s="77"/>
      <c r="E23" s="32">
        <f>'Fane 9. Kontrol af PL2015'!G36</f>
        <v>1640140</v>
      </c>
      <c r="F23" s="17" t="s">
        <v>4</v>
      </c>
      <c r="G23" s="32">
        <f>E23</f>
        <v>1640140</v>
      </c>
      <c r="H23" s="17" t="s">
        <v>4</v>
      </c>
      <c r="I23" s="1"/>
    </row>
    <row r="24" spans="1:9" x14ac:dyDescent="0.25">
      <c r="A24" s="1"/>
      <c r="B24" s="69" t="s">
        <v>39</v>
      </c>
      <c r="C24" s="70"/>
      <c r="D24" s="70"/>
      <c r="E24" s="70"/>
      <c r="F24" s="71"/>
      <c r="G24" s="33">
        <f>G13+G15+G21+G23</f>
        <v>17047741.194340538</v>
      </c>
      <c r="H24" s="18" t="s">
        <v>4</v>
      </c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</sheetData>
  <sheetProtection password="C6BD" sheet="1" objects="1" scenarios="1"/>
  <mergeCells count="18"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  <mergeCell ref="B14:H14"/>
    <mergeCell ref="B8:H8"/>
    <mergeCell ref="B17:D17"/>
    <mergeCell ref="B21:D21"/>
    <mergeCell ref="B19:D19"/>
    <mergeCell ref="B24:F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2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109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2" t="s">
        <v>40</v>
      </c>
      <c r="C9" s="73"/>
      <c r="D9" s="74"/>
      <c r="E9" s="36">
        <f>'Fane 2.1. Økonomisk ramme 2017'!$E$9-'Fane 2.1. Økonomisk ramme 2017'!$E$11-'Fane 2.1. Økonomisk ramme 2017'!$E$12</f>
        <v>15505125.087673871</v>
      </c>
      <c r="F9" s="7" t="s">
        <v>4</v>
      </c>
      <c r="G9" s="8"/>
      <c r="H9" s="9"/>
      <c r="I9" s="1"/>
    </row>
    <row r="10" spans="1:9" x14ac:dyDescent="0.25">
      <c r="A10" s="1"/>
      <c r="B10" s="82" t="s">
        <v>110</v>
      </c>
      <c r="C10" s="86"/>
      <c r="D10" s="87"/>
      <c r="E10" s="37">
        <f>'Fane 3. Grundlag'!$G$9*(1-'Fane 4. Individuelt eff.krav'!$G$10/100)-'Fane 5. Generelt eff.krav'!G$11</f>
        <v>4274403.9242096506</v>
      </c>
      <c r="F10" s="7" t="s">
        <v>4</v>
      </c>
      <c r="G10" s="11"/>
      <c r="H10" s="12"/>
      <c r="I10" s="1"/>
    </row>
    <row r="11" spans="1:9" x14ac:dyDescent="0.25">
      <c r="A11" s="1"/>
      <c r="B11" s="82" t="s">
        <v>111</v>
      </c>
      <c r="C11" s="86"/>
      <c r="D11" s="87"/>
      <c r="E11" s="37">
        <f>'Fane 3. Grundlag'!$G$10*(1-'Fane 4. Individuelt eff.krav'!$G$10/100)-'Fane 5. Generelt eff.krav'!G$14</f>
        <v>5313022.839413981</v>
      </c>
      <c r="F11" s="7" t="s">
        <v>4</v>
      </c>
      <c r="G11" s="11"/>
      <c r="H11" s="12"/>
      <c r="I11" s="1"/>
    </row>
    <row r="12" spans="1:9" x14ac:dyDescent="0.25">
      <c r="A12" s="1"/>
      <c r="B12" s="82" t="s">
        <v>97</v>
      </c>
      <c r="C12" s="86"/>
      <c r="D12" s="87"/>
      <c r="E12" s="37">
        <f>'Fane 2.1. Økonomisk ramme 2017'!$E$10</f>
        <v>5917698.3240502393</v>
      </c>
      <c r="F12" s="7" t="s">
        <v>4</v>
      </c>
      <c r="G12" s="11"/>
      <c r="H12" s="12"/>
      <c r="I12" s="1"/>
    </row>
    <row r="13" spans="1:9" x14ac:dyDescent="0.25">
      <c r="A13" s="1"/>
      <c r="B13" s="79" t="s">
        <v>41</v>
      </c>
      <c r="C13" s="80"/>
      <c r="D13" s="81"/>
      <c r="E13" s="37">
        <f>$E$9*0.0127</f>
        <v>196915.08861345815</v>
      </c>
      <c r="F13" s="7" t="s">
        <v>4</v>
      </c>
      <c r="G13" s="13"/>
      <c r="H13" s="12"/>
      <c r="I13" s="1"/>
    </row>
    <row r="14" spans="1:9" x14ac:dyDescent="0.25">
      <c r="A14" s="1"/>
      <c r="B14" s="79" t="s">
        <v>25</v>
      </c>
      <c r="C14" s="80"/>
      <c r="D14" s="81"/>
      <c r="E14" s="37">
        <f>('Fane 2.2. Økonomisk ramme 2018'!$E$9-'Fane 2.2. Økonomisk ramme 2018'!$E$12)*1.0127*'Fane 4. Individuelt eff.krav'!$G$10/100</f>
        <v>75034.496915029958</v>
      </c>
      <c r="F14" s="7" t="s">
        <v>4</v>
      </c>
      <c r="G14" s="13"/>
      <c r="H14" s="12"/>
      <c r="I14" s="1"/>
    </row>
    <row r="15" spans="1:9" x14ac:dyDescent="0.25">
      <c r="A15" s="1"/>
      <c r="B15" s="28" t="s">
        <v>26</v>
      </c>
      <c r="C15" s="29"/>
      <c r="D15" s="30"/>
      <c r="E15" s="37">
        <f>('Fane 3. Grundlag'!$G$9-'Fane 5. Generelt eff.krav'!G$11)*1.0127*0.02+('Fane 3. Grundlag'!$G$10-'Fane 5. Generelt eff.krav'!G$14)*1.0127*0.0091</f>
        <v>136609.31961645713</v>
      </c>
      <c r="F15" s="7" t="s">
        <v>4</v>
      </c>
      <c r="G15" s="14"/>
      <c r="H15" s="15"/>
      <c r="I15" s="1"/>
    </row>
    <row r="16" spans="1:9" x14ac:dyDescent="0.25">
      <c r="A16" s="1"/>
      <c r="B16" s="83" t="s">
        <v>43</v>
      </c>
      <c r="C16" s="84"/>
      <c r="D16" s="85"/>
      <c r="E16" s="32">
        <f>$E$9+$E$13-$E$14-$E$15</f>
        <v>15490396.359755842</v>
      </c>
      <c r="F16" s="17" t="s">
        <v>4</v>
      </c>
      <c r="G16" s="32">
        <f>E16</f>
        <v>15490396.359755842</v>
      </c>
      <c r="H16" s="17" t="s">
        <v>4</v>
      </c>
      <c r="I16" s="1"/>
    </row>
    <row r="17" spans="1:9" x14ac:dyDescent="0.25">
      <c r="A17" s="1"/>
      <c r="B17" s="69" t="s">
        <v>32</v>
      </c>
      <c r="C17" s="70"/>
      <c r="D17" s="70"/>
      <c r="E17" s="70"/>
      <c r="F17" s="70"/>
      <c r="G17" s="70"/>
      <c r="H17" s="71"/>
      <c r="I17" s="1"/>
    </row>
    <row r="18" spans="1:9" ht="15" customHeight="1" x14ac:dyDescent="0.25">
      <c r="A18" s="1"/>
      <c r="B18" s="75" t="s">
        <v>108</v>
      </c>
      <c r="C18" s="76"/>
      <c r="D18" s="77"/>
      <c r="E18" s="35">
        <f>IF('Fane 6. Hist. over el. underdæk'!$G$12&gt;1,'Fane 6. Hist. over el. underdæk'!$G$13,0)</f>
        <v>0</v>
      </c>
      <c r="F18" s="17" t="s">
        <v>4</v>
      </c>
      <c r="G18" s="32">
        <f>E18</f>
        <v>0</v>
      </c>
      <c r="H18" s="17" t="s">
        <v>4</v>
      </c>
      <c r="I18" s="1"/>
    </row>
    <row r="19" spans="1:9" x14ac:dyDescent="0.25">
      <c r="A19" s="1"/>
      <c r="B19" s="69" t="s">
        <v>42</v>
      </c>
      <c r="C19" s="70"/>
      <c r="D19" s="70"/>
      <c r="E19" s="70"/>
      <c r="F19" s="71"/>
      <c r="G19" s="33">
        <f>G16+G18</f>
        <v>15490396.359755842</v>
      </c>
      <c r="H19" s="18" t="s">
        <v>4</v>
      </c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  <row r="52" spans="1:9" x14ac:dyDescent="0.25">
      <c r="A52" s="6"/>
      <c r="B52" s="6"/>
      <c r="C52" s="6"/>
      <c r="D52" s="6"/>
      <c r="E52" s="6"/>
      <c r="F52" s="6"/>
      <c r="G52" s="6"/>
      <c r="H52" s="6"/>
      <c r="I52" s="6"/>
    </row>
  </sheetData>
  <sheetProtection password="C6BD" sheet="1" objects="1" scenarios="1"/>
  <mergeCells count="12">
    <mergeCell ref="B3:H4"/>
    <mergeCell ref="B9:D9"/>
    <mergeCell ref="B10:D10"/>
    <mergeCell ref="B19:F19"/>
    <mergeCell ref="B13:D13"/>
    <mergeCell ref="B14:D14"/>
    <mergeCell ref="B16:D16"/>
    <mergeCell ref="B17:H17"/>
    <mergeCell ref="B18:D18"/>
    <mergeCell ref="B8:H8"/>
    <mergeCell ref="B12:D12"/>
    <mergeCell ref="B11:D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9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44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99</v>
      </c>
      <c r="C9" s="80"/>
      <c r="D9" s="80"/>
      <c r="E9" s="80"/>
      <c r="F9" s="81"/>
      <c r="G9" s="37">
        <v>4396305.5442659287</v>
      </c>
      <c r="H9" s="10" t="s">
        <v>4</v>
      </c>
      <c r="I9" s="1"/>
    </row>
    <row r="10" spans="1:9" x14ac:dyDescent="0.25">
      <c r="A10" s="1"/>
      <c r="B10" s="79" t="s">
        <v>100</v>
      </c>
      <c r="C10" s="80"/>
      <c r="D10" s="80"/>
      <c r="E10" s="80"/>
      <c r="F10" s="81"/>
      <c r="G10" s="37">
        <v>5403961.7650198853</v>
      </c>
      <c r="H10" s="10" t="s">
        <v>4</v>
      </c>
      <c r="I10" s="1"/>
    </row>
    <row r="11" spans="1:9" x14ac:dyDescent="0.25">
      <c r="A11" s="1"/>
      <c r="B11" s="79" t="s">
        <v>101</v>
      </c>
      <c r="C11" s="80"/>
      <c r="D11" s="80"/>
      <c r="E11" s="80"/>
      <c r="F11" s="81"/>
      <c r="G11" s="37">
        <v>5917698.3240502393</v>
      </c>
      <c r="H11" s="10" t="s">
        <v>4</v>
      </c>
      <c r="I11" s="1"/>
    </row>
    <row r="12" spans="1:9" x14ac:dyDescent="0.25">
      <c r="A12" s="1"/>
      <c r="B12" s="69" t="s">
        <v>44</v>
      </c>
      <c r="C12" s="70"/>
      <c r="D12" s="70"/>
      <c r="E12" s="70"/>
      <c r="F12" s="71"/>
      <c r="G12" s="33">
        <f>SUM(G9:G11)</f>
        <v>15717965.633336052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102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0"/>
  <sheetViews>
    <sheetView view="pageLayout" zoomScaleNormal="100" workbookViewId="0"/>
  </sheetViews>
  <sheetFormatPr defaultRowHeight="15" x14ac:dyDescent="0.25"/>
  <cols>
    <col min="1" max="1" width="7.85546875" customWidth="1"/>
    <col min="6" max="6" width="19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27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25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103</v>
      </c>
      <c r="C9" s="80"/>
      <c r="D9" s="80"/>
      <c r="E9" s="80"/>
      <c r="F9" s="81"/>
      <c r="G9" s="20">
        <f>'Fane 3. Grundlag'!G12-'Fane 3. Grundlag'!G11</f>
        <v>9800267.3092858121</v>
      </c>
      <c r="H9" s="10" t="s">
        <v>4</v>
      </c>
      <c r="I9" s="1"/>
    </row>
    <row r="10" spans="1:9" x14ac:dyDescent="0.25">
      <c r="A10" s="1"/>
      <c r="B10" s="79" t="s">
        <v>71</v>
      </c>
      <c r="C10" s="80"/>
      <c r="D10" s="80"/>
      <c r="E10" s="80"/>
      <c r="F10" s="81"/>
      <c r="G10" s="44">
        <v>0.77281956017077746</v>
      </c>
      <c r="H10" s="10" t="s">
        <v>72</v>
      </c>
      <c r="I10" s="1"/>
    </row>
    <row r="11" spans="1:9" x14ac:dyDescent="0.25">
      <c r="A11" s="1"/>
      <c r="B11" s="69" t="s">
        <v>25</v>
      </c>
      <c r="C11" s="70"/>
      <c r="D11" s="70"/>
      <c r="E11" s="70"/>
      <c r="F11" s="71"/>
      <c r="G11" s="33">
        <f>$G$9*$G$10/100</f>
        <v>75738.382715183092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88" t="s">
        <v>99</v>
      </c>
      <c r="C9" s="89"/>
      <c r="D9" s="89"/>
      <c r="E9" s="89"/>
      <c r="F9" s="90"/>
      <c r="G9" s="20">
        <f>'Fane 3. Grundlag'!G9</f>
        <v>4396305.5442659287</v>
      </c>
      <c r="H9" s="10" t="s">
        <v>4</v>
      </c>
      <c r="I9" s="1"/>
    </row>
    <row r="10" spans="1:9" x14ac:dyDescent="0.25">
      <c r="A10" s="1"/>
      <c r="B10" s="79" t="s">
        <v>26</v>
      </c>
      <c r="C10" s="80"/>
      <c r="D10" s="80"/>
      <c r="E10" s="80"/>
      <c r="F10" s="81"/>
      <c r="G10" s="42">
        <f>2</f>
        <v>2</v>
      </c>
      <c r="H10" s="10" t="s">
        <v>72</v>
      </c>
      <c r="I10" s="1"/>
    </row>
    <row r="11" spans="1:9" x14ac:dyDescent="0.25">
      <c r="A11" s="1"/>
      <c r="B11" s="83" t="s">
        <v>73</v>
      </c>
      <c r="C11" s="84"/>
      <c r="D11" s="84"/>
      <c r="E11" s="84"/>
      <c r="F11" s="85"/>
      <c r="G11" s="32">
        <f>$G$9*$G$10/100</f>
        <v>87926.110885318572</v>
      </c>
      <c r="H11" s="16" t="s">
        <v>4</v>
      </c>
      <c r="I11" s="1"/>
    </row>
    <row r="12" spans="1:9" x14ac:dyDescent="0.25">
      <c r="A12" s="1"/>
      <c r="B12" s="79" t="s">
        <v>100</v>
      </c>
      <c r="C12" s="80"/>
      <c r="D12" s="80"/>
      <c r="E12" s="80"/>
      <c r="F12" s="81"/>
      <c r="G12" s="20">
        <f>'Fane 3. Grundlag'!G10</f>
        <v>5403961.7650198853</v>
      </c>
      <c r="H12" s="10" t="s">
        <v>4</v>
      </c>
      <c r="I12" s="1"/>
    </row>
    <row r="13" spans="1:9" x14ac:dyDescent="0.25">
      <c r="A13" s="1"/>
      <c r="B13" s="79" t="s">
        <v>26</v>
      </c>
      <c r="C13" s="80"/>
      <c r="D13" s="80"/>
      <c r="E13" s="80"/>
      <c r="F13" s="81"/>
      <c r="G13" s="43">
        <f>0.91</f>
        <v>0.91</v>
      </c>
      <c r="H13" s="10" t="s">
        <v>72</v>
      </c>
      <c r="I13" s="1"/>
    </row>
    <row r="14" spans="1:9" x14ac:dyDescent="0.25">
      <c r="A14" s="1"/>
      <c r="B14" s="83" t="s">
        <v>74</v>
      </c>
      <c r="C14" s="84"/>
      <c r="D14" s="84"/>
      <c r="E14" s="84"/>
      <c r="F14" s="85"/>
      <c r="G14" s="32">
        <f>$G$12*$G$13/100</f>
        <v>49176.052061680959</v>
      </c>
      <c r="H14" s="16" t="s">
        <v>4</v>
      </c>
      <c r="I14" s="1"/>
    </row>
    <row r="15" spans="1:9" x14ac:dyDescent="0.25">
      <c r="A15" s="1"/>
      <c r="B15" s="69" t="s">
        <v>104</v>
      </c>
      <c r="C15" s="70"/>
      <c r="D15" s="70"/>
      <c r="E15" s="70"/>
      <c r="F15" s="71"/>
      <c r="G15" s="33">
        <f>G11+G14</f>
        <v>137102.16294699954</v>
      </c>
      <c r="H15" s="18" t="s">
        <v>4</v>
      </c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</sheetData>
  <sheetProtection password="C6BD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4" max="4" width="15.140625" customWidth="1"/>
    <col min="6" max="6" width="14.140625" customWidth="1"/>
    <col min="7" max="7" width="9" customWidth="1"/>
    <col min="8" max="8" width="3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107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76</v>
      </c>
      <c r="C9" s="80"/>
      <c r="D9" s="80"/>
      <c r="E9" s="80"/>
      <c r="F9" s="81"/>
      <c r="G9" s="37">
        <v>-1770439</v>
      </c>
      <c r="H9" s="10" t="s">
        <v>4</v>
      </c>
      <c r="I9" s="1"/>
    </row>
    <row r="10" spans="1:9" x14ac:dyDescent="0.25">
      <c r="A10" s="1"/>
      <c r="B10" s="79" t="s">
        <v>77</v>
      </c>
      <c r="C10" s="80"/>
      <c r="D10" s="80"/>
      <c r="E10" s="80"/>
      <c r="F10" s="81"/>
      <c r="G10" s="37">
        <v>-1398412</v>
      </c>
      <c r="H10" s="10" t="s">
        <v>4</v>
      </c>
      <c r="I10" s="1"/>
    </row>
    <row r="11" spans="1:9" x14ac:dyDescent="0.25">
      <c r="A11" s="1"/>
      <c r="B11" s="91" t="s">
        <v>91</v>
      </c>
      <c r="C11" s="92"/>
      <c r="D11" s="92"/>
      <c r="E11" s="92"/>
      <c r="F11" s="93"/>
      <c r="G11" s="38">
        <v>-372027</v>
      </c>
      <c r="H11" s="23" t="s">
        <v>4</v>
      </c>
      <c r="I11" s="1"/>
    </row>
    <row r="12" spans="1:9" x14ac:dyDescent="0.25">
      <c r="A12" s="1"/>
      <c r="B12" s="79" t="s">
        <v>78</v>
      </c>
      <c r="C12" s="80"/>
      <c r="D12" s="80"/>
      <c r="E12" s="80"/>
      <c r="F12" s="81"/>
      <c r="G12" s="37">
        <v>1</v>
      </c>
      <c r="H12" s="10" t="s">
        <v>4</v>
      </c>
      <c r="I12" s="1"/>
    </row>
    <row r="13" spans="1:9" x14ac:dyDescent="0.25">
      <c r="A13" s="1"/>
      <c r="B13" s="69" t="s">
        <v>75</v>
      </c>
      <c r="C13" s="70"/>
      <c r="D13" s="70"/>
      <c r="E13" s="70"/>
      <c r="F13" s="71"/>
      <c r="G13" s="33">
        <f>G11/G12</f>
        <v>-372027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3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5.140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8" t="s">
        <v>30</v>
      </c>
      <c r="C3" s="78"/>
      <c r="D3" s="78"/>
      <c r="E3" s="78"/>
      <c r="F3" s="78"/>
      <c r="G3" s="78"/>
      <c r="H3" s="1"/>
    </row>
    <row r="4" spans="1:8" ht="15" customHeight="1" x14ac:dyDescent="0.25">
      <c r="A4" s="1"/>
      <c r="B4" s="78"/>
      <c r="C4" s="78"/>
      <c r="D4" s="78"/>
      <c r="E4" s="78"/>
      <c r="F4" s="78"/>
      <c r="G4" s="7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69" t="s">
        <v>5</v>
      </c>
      <c r="C8" s="70"/>
      <c r="D8" s="70"/>
      <c r="E8" s="70"/>
      <c r="F8" s="70"/>
      <c r="G8" s="71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79</v>
      </c>
      <c r="F9" s="94" t="s">
        <v>3</v>
      </c>
      <c r="G9" s="94"/>
      <c r="H9" s="1"/>
    </row>
    <row r="10" spans="1:8" x14ac:dyDescent="0.25">
      <c r="A10" s="1"/>
      <c r="B10" s="41" t="s">
        <v>113</v>
      </c>
      <c r="C10" s="39">
        <v>2015</v>
      </c>
      <c r="D10" s="39">
        <v>10</v>
      </c>
      <c r="E10" s="37">
        <v>59071</v>
      </c>
      <c r="F10" s="20">
        <f>E10/D10</f>
        <v>5907.1</v>
      </c>
      <c r="G10" s="10" t="s">
        <v>4</v>
      </c>
      <c r="H10" s="1"/>
    </row>
    <row r="11" spans="1:8" x14ac:dyDescent="0.25">
      <c r="A11" s="1"/>
      <c r="B11" s="41" t="s">
        <v>114</v>
      </c>
      <c r="C11" s="39">
        <v>2015</v>
      </c>
      <c r="D11" s="39">
        <v>25</v>
      </c>
      <c r="E11" s="37">
        <v>71225</v>
      </c>
      <c r="F11" s="20">
        <f t="shared" ref="F11:F20" si="0">E11/D11</f>
        <v>2849</v>
      </c>
      <c r="G11" s="10" t="s">
        <v>4</v>
      </c>
      <c r="H11" s="1"/>
    </row>
    <row r="12" spans="1:8" x14ac:dyDescent="0.25">
      <c r="A12" s="1"/>
      <c r="B12" s="41" t="s">
        <v>115</v>
      </c>
      <c r="C12" s="39">
        <v>2015</v>
      </c>
      <c r="D12" s="39">
        <v>50</v>
      </c>
      <c r="E12" s="37">
        <v>25655</v>
      </c>
      <c r="F12" s="20">
        <f t="shared" si="0"/>
        <v>513.1</v>
      </c>
      <c r="G12" s="10" t="s">
        <v>4</v>
      </c>
      <c r="H12" s="1"/>
    </row>
    <row r="13" spans="1:8" x14ac:dyDescent="0.25">
      <c r="A13" s="1"/>
      <c r="B13" s="41" t="s">
        <v>116</v>
      </c>
      <c r="C13" s="39">
        <v>2015</v>
      </c>
      <c r="D13" s="39">
        <v>15</v>
      </c>
      <c r="E13" s="37">
        <v>50000</v>
      </c>
      <c r="F13" s="20">
        <f t="shared" si="0"/>
        <v>3333.3333333333335</v>
      </c>
      <c r="G13" s="10" t="s">
        <v>4</v>
      </c>
      <c r="H13" s="1"/>
    </row>
    <row r="14" spans="1:8" x14ac:dyDescent="0.25">
      <c r="A14" s="1"/>
      <c r="B14" s="41" t="s">
        <v>117</v>
      </c>
      <c r="C14" s="39">
        <v>2015</v>
      </c>
      <c r="D14" s="39">
        <v>10</v>
      </c>
      <c r="E14" s="37">
        <v>3119659</v>
      </c>
      <c r="F14" s="20">
        <f t="shared" si="0"/>
        <v>311965.90000000002</v>
      </c>
      <c r="G14" s="10" t="s">
        <v>4</v>
      </c>
      <c r="H14" s="1"/>
    </row>
    <row r="15" spans="1:8" x14ac:dyDescent="0.25">
      <c r="A15" s="1"/>
      <c r="B15" s="41" t="s">
        <v>118</v>
      </c>
      <c r="C15" s="39">
        <v>2015</v>
      </c>
      <c r="D15" s="39">
        <v>75</v>
      </c>
      <c r="E15" s="37">
        <v>119550</v>
      </c>
      <c r="F15" s="20">
        <f t="shared" si="0"/>
        <v>1594</v>
      </c>
      <c r="G15" s="10" t="s">
        <v>4</v>
      </c>
      <c r="H15" s="1"/>
    </row>
    <row r="16" spans="1:8" x14ac:dyDescent="0.25">
      <c r="A16" s="1"/>
      <c r="B16" s="41" t="s">
        <v>118</v>
      </c>
      <c r="C16" s="39">
        <v>2015</v>
      </c>
      <c r="D16" s="39">
        <v>75</v>
      </c>
      <c r="E16" s="37">
        <v>34000</v>
      </c>
      <c r="F16" s="20">
        <f t="shared" si="0"/>
        <v>453.33333333333331</v>
      </c>
      <c r="G16" s="10" t="s">
        <v>4</v>
      </c>
      <c r="H16" s="1"/>
    </row>
    <row r="17" spans="1:8" x14ac:dyDescent="0.25">
      <c r="A17" s="1"/>
      <c r="B17" s="41" t="s">
        <v>119</v>
      </c>
      <c r="C17" s="39">
        <v>2015</v>
      </c>
      <c r="D17" s="39">
        <v>75</v>
      </c>
      <c r="E17" s="37">
        <v>378000</v>
      </c>
      <c r="F17" s="20">
        <f t="shared" si="0"/>
        <v>5040</v>
      </c>
      <c r="G17" s="10" t="s">
        <v>4</v>
      </c>
      <c r="H17" s="1"/>
    </row>
    <row r="18" spans="1:8" x14ac:dyDescent="0.25">
      <c r="A18" s="1"/>
      <c r="B18" s="41" t="s">
        <v>120</v>
      </c>
      <c r="C18" s="39">
        <v>2015</v>
      </c>
      <c r="D18" s="39">
        <v>75</v>
      </c>
      <c r="E18" s="37">
        <v>301000</v>
      </c>
      <c r="F18" s="20">
        <f t="shared" si="0"/>
        <v>4013.3333333333335</v>
      </c>
      <c r="G18" s="10" t="s">
        <v>4</v>
      </c>
      <c r="H18" s="1"/>
    </row>
    <row r="19" spans="1:8" x14ac:dyDescent="0.25">
      <c r="A19" s="1"/>
      <c r="B19" s="41" t="s">
        <v>121</v>
      </c>
      <c r="C19" s="39">
        <v>2015</v>
      </c>
      <c r="D19" s="39">
        <v>75</v>
      </c>
      <c r="E19" s="37">
        <v>962899</v>
      </c>
      <c r="F19" s="20">
        <f t="shared" si="0"/>
        <v>12838.653333333334</v>
      </c>
      <c r="G19" s="10" t="s">
        <v>4</v>
      </c>
      <c r="H19" s="1"/>
    </row>
    <row r="20" spans="1:8" x14ac:dyDescent="0.25">
      <c r="A20" s="1"/>
      <c r="B20" s="41" t="s">
        <v>122</v>
      </c>
      <c r="C20" s="39">
        <v>2015</v>
      </c>
      <c r="D20" s="39">
        <v>5</v>
      </c>
      <c r="E20" s="37">
        <v>133404</v>
      </c>
      <c r="F20" s="20">
        <f t="shared" si="0"/>
        <v>26680.799999999999</v>
      </c>
      <c r="G20" s="10" t="s">
        <v>4</v>
      </c>
      <c r="H20" s="1"/>
    </row>
    <row r="21" spans="1:8" x14ac:dyDescent="0.25">
      <c r="A21" s="1"/>
      <c r="B21" s="69" t="s">
        <v>123</v>
      </c>
      <c r="C21" s="70"/>
      <c r="D21" s="70"/>
      <c r="E21" s="71"/>
      <c r="F21" s="33">
        <f>SUM(F10:F20)</f>
        <v>375188.55333333329</v>
      </c>
      <c r="G21" s="18" t="s">
        <v>4</v>
      </c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  <row r="49" spans="1:8" x14ac:dyDescent="0.25">
      <c r="A49" s="6"/>
      <c r="B49" s="6"/>
      <c r="C49" s="6"/>
      <c r="D49" s="6"/>
      <c r="E49" s="6"/>
      <c r="F49" s="6"/>
      <c r="G49" s="6"/>
      <c r="H49" s="6"/>
    </row>
    <row r="50" spans="1:8" x14ac:dyDescent="0.25">
      <c r="A50" s="6"/>
      <c r="B50" s="6"/>
      <c r="C50" s="6"/>
      <c r="D50" s="6"/>
      <c r="E50" s="6"/>
      <c r="F50" s="6"/>
      <c r="G50" s="6"/>
      <c r="H50" s="6"/>
    </row>
    <row r="51" spans="1:8" x14ac:dyDescent="0.25">
      <c r="A51" s="6"/>
      <c r="B51" s="6"/>
      <c r="C51" s="6"/>
      <c r="D51" s="6"/>
      <c r="E51" s="6"/>
      <c r="F51" s="6"/>
      <c r="G51" s="6"/>
      <c r="H51" s="6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  <row r="53" spans="1:8" x14ac:dyDescent="0.25">
      <c r="A53" s="6"/>
      <c r="B53" s="6"/>
      <c r="C53" s="6"/>
      <c r="D53" s="6"/>
      <c r="E53" s="6"/>
      <c r="F53" s="6"/>
      <c r="G53" s="6"/>
      <c r="H53" s="6"/>
    </row>
  </sheetData>
  <sheetProtection password="C6BD" sheet="1" objects="1" scenarios="1"/>
  <mergeCells count="4">
    <mergeCell ref="B21:E21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8" t="s">
        <v>7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95" t="s">
        <v>92</v>
      </c>
      <c r="C8" s="96"/>
      <c r="D8" s="96"/>
      <c r="E8" s="96"/>
      <c r="F8" s="96"/>
      <c r="G8" s="96"/>
      <c r="H8" s="97"/>
      <c r="I8" s="1"/>
    </row>
    <row r="9" spans="1:9" x14ac:dyDescent="0.25">
      <c r="A9" s="1"/>
      <c r="B9" s="79" t="s">
        <v>80</v>
      </c>
      <c r="C9" s="80"/>
      <c r="D9" s="80"/>
      <c r="E9" s="80"/>
      <c r="F9" s="81"/>
      <c r="G9" s="37">
        <v>5947421</v>
      </c>
      <c r="H9" s="10" t="s">
        <v>4</v>
      </c>
      <c r="I9" s="1"/>
    </row>
    <row r="10" spans="1:9" x14ac:dyDescent="0.25">
      <c r="A10" s="1"/>
      <c r="B10" s="79" t="s">
        <v>81</v>
      </c>
      <c r="C10" s="80"/>
      <c r="D10" s="80"/>
      <c r="E10" s="80"/>
      <c r="F10" s="81"/>
      <c r="G10" s="37">
        <v>5591100</v>
      </c>
      <c r="H10" s="10" t="s">
        <v>4</v>
      </c>
      <c r="I10" s="1"/>
    </row>
    <row r="11" spans="1:9" x14ac:dyDescent="0.25">
      <c r="A11" s="1"/>
      <c r="B11" s="69" t="s">
        <v>82</v>
      </c>
      <c r="C11" s="70"/>
      <c r="D11" s="70"/>
      <c r="E11" s="70"/>
      <c r="F11" s="71"/>
      <c r="G11" s="33">
        <f>G9-G10</f>
        <v>356321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95" t="s">
        <v>83</v>
      </c>
      <c r="C14" s="96"/>
      <c r="D14" s="96"/>
      <c r="E14" s="96"/>
      <c r="F14" s="96"/>
      <c r="G14" s="96"/>
      <c r="H14" s="97"/>
      <c r="I14" s="1"/>
    </row>
    <row r="15" spans="1:9" x14ac:dyDescent="0.25">
      <c r="A15" s="1"/>
      <c r="B15" s="79" t="s">
        <v>84</v>
      </c>
      <c r="C15" s="80"/>
      <c r="D15" s="80"/>
      <c r="E15" s="80"/>
      <c r="F15" s="81"/>
      <c r="G15" s="37">
        <v>-1438</v>
      </c>
      <c r="H15" s="10" t="s">
        <v>4</v>
      </c>
      <c r="I15" s="1"/>
    </row>
    <row r="16" spans="1:9" x14ac:dyDescent="0.25">
      <c r="A16" s="1"/>
      <c r="B16" s="79" t="s">
        <v>85</v>
      </c>
      <c r="C16" s="80"/>
      <c r="D16" s="80"/>
      <c r="E16" s="80"/>
      <c r="F16" s="81"/>
      <c r="G16" s="37">
        <v>57000</v>
      </c>
      <c r="H16" s="10" t="s">
        <v>4</v>
      </c>
      <c r="I16" s="1"/>
    </row>
    <row r="17" spans="1:9" x14ac:dyDescent="0.25">
      <c r="A17" s="1"/>
      <c r="B17" s="69" t="s">
        <v>86</v>
      </c>
      <c r="C17" s="70"/>
      <c r="D17" s="70"/>
      <c r="E17" s="70"/>
      <c r="F17" s="71"/>
      <c r="G17" s="33">
        <f>G15-G16</f>
        <v>-58438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95" t="s">
        <v>93</v>
      </c>
      <c r="C20" s="96"/>
      <c r="D20" s="96"/>
      <c r="E20" s="96"/>
      <c r="F20" s="96"/>
      <c r="G20" s="96"/>
      <c r="H20" s="97"/>
      <c r="I20" s="1"/>
    </row>
    <row r="21" spans="1:9" x14ac:dyDescent="0.25">
      <c r="A21" s="1"/>
      <c r="B21" s="79" t="s">
        <v>94</v>
      </c>
      <c r="C21" s="80"/>
      <c r="D21" s="80"/>
      <c r="E21" s="80"/>
      <c r="F21" s="81"/>
      <c r="G21" s="37">
        <v>0</v>
      </c>
      <c r="H21" s="10" t="s">
        <v>4</v>
      </c>
      <c r="I21" s="1"/>
    </row>
    <row r="22" spans="1:9" x14ac:dyDescent="0.25">
      <c r="A22" s="1"/>
      <c r="B22" s="79" t="s">
        <v>96</v>
      </c>
      <c r="C22" s="80"/>
      <c r="D22" s="80"/>
      <c r="E22" s="80"/>
      <c r="F22" s="81"/>
      <c r="G22" s="37">
        <v>0</v>
      </c>
      <c r="H22" s="10" t="s">
        <v>4</v>
      </c>
      <c r="I22" s="1"/>
    </row>
    <row r="23" spans="1:9" x14ac:dyDescent="0.25">
      <c r="A23" s="1"/>
      <c r="B23" s="69" t="s">
        <v>95</v>
      </c>
      <c r="C23" s="70"/>
      <c r="D23" s="70"/>
      <c r="E23" s="70"/>
      <c r="F23" s="71"/>
      <c r="G23" s="33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95" t="s">
        <v>87</v>
      </c>
      <c r="C26" s="96"/>
      <c r="D26" s="96"/>
      <c r="E26" s="96"/>
      <c r="F26" s="96"/>
      <c r="G26" s="96"/>
      <c r="H26" s="97"/>
      <c r="I26" s="1"/>
    </row>
    <row r="27" spans="1:9" x14ac:dyDescent="0.25">
      <c r="A27" s="1"/>
      <c r="B27" s="79" t="s">
        <v>88</v>
      </c>
      <c r="C27" s="80"/>
      <c r="D27" s="80"/>
      <c r="E27" s="80"/>
      <c r="F27" s="81"/>
      <c r="G27" s="37">
        <v>422917</v>
      </c>
      <c r="H27" s="10" t="s">
        <v>4</v>
      </c>
      <c r="I27" s="1"/>
    </row>
    <row r="28" spans="1:9" x14ac:dyDescent="0.25">
      <c r="A28" s="1"/>
      <c r="B28" s="79" t="s">
        <v>89</v>
      </c>
      <c r="C28" s="80"/>
      <c r="D28" s="80"/>
      <c r="E28" s="80"/>
      <c r="F28" s="81"/>
      <c r="G28" s="37">
        <v>350840</v>
      </c>
      <c r="H28" s="10" t="s">
        <v>4</v>
      </c>
      <c r="I28" s="1"/>
    </row>
    <row r="29" spans="1:9" x14ac:dyDescent="0.25">
      <c r="A29" s="1"/>
      <c r="B29" s="79" t="s">
        <v>90</v>
      </c>
      <c r="C29" s="80"/>
      <c r="D29" s="80"/>
      <c r="E29" s="80"/>
      <c r="F29" s="81"/>
      <c r="G29" s="20">
        <f>'Fane 7. Gen. inv. i 2015'!F21</f>
        <v>375188.55333333329</v>
      </c>
      <c r="H29" s="10" t="s">
        <v>4</v>
      </c>
      <c r="I29" s="1"/>
    </row>
    <row r="30" spans="1:9" x14ac:dyDescent="0.25">
      <c r="A30" s="1"/>
      <c r="B30" s="69" t="s">
        <v>87</v>
      </c>
      <c r="C30" s="70"/>
      <c r="D30" s="70"/>
      <c r="E30" s="70"/>
      <c r="F30" s="71"/>
      <c r="G30" s="33">
        <f>G29-G27+G29-G28</f>
        <v>-23379.893333333428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2016-12-13T11:30:35Z</dcterms:modified>
</cp:coreProperties>
</file>