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8800" yWindow="15" windowWidth="20730" windowHeight="11760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G13" i="9" l="1"/>
  <c r="E18" i="4" l="1"/>
  <c r="G10" i="9"/>
  <c r="G30" i="13"/>
  <c r="F25" i="11" l="1"/>
  <c r="F24" i="11"/>
  <c r="F23" i="11"/>
  <c r="F22" i="11"/>
  <c r="F21" i="11"/>
  <c r="F20" i="11"/>
  <c r="F19" i="11"/>
  <c r="F18" i="11"/>
  <c r="F17" i="11"/>
  <c r="F16" i="11"/>
  <c r="F15" i="11"/>
  <c r="E10" i="2" l="1"/>
  <c r="E12" i="4" s="1"/>
  <c r="E35" i="13" l="1"/>
  <c r="G35" i="13" s="1"/>
  <c r="G36" i="13" s="1"/>
  <c r="E23" i="2" s="1"/>
  <c r="G23" i="2" s="1"/>
  <c r="E27" i="13"/>
  <c r="E19" i="13"/>
  <c r="E15" i="13"/>
  <c r="G11" i="12"/>
  <c r="G23" i="12"/>
  <c r="E19" i="2" s="1"/>
  <c r="G17" i="12"/>
  <c r="E18" i="2" s="1"/>
  <c r="F11" i="11"/>
  <c r="F12" i="11"/>
  <c r="F13" i="11"/>
  <c r="F14" i="11"/>
  <c r="F26" i="11"/>
  <c r="F10" i="11"/>
  <c r="E15" i="2"/>
  <c r="G15" i="2" s="1"/>
  <c r="G12" i="9"/>
  <c r="G14" i="9" s="1"/>
  <c r="G9" i="9"/>
  <c r="G11" i="9" s="1"/>
  <c r="G12" i="7"/>
  <c r="G18" i="4"/>
  <c r="E17" i="2"/>
  <c r="E11" i="4" l="1"/>
  <c r="E15" i="4"/>
  <c r="E10" i="4"/>
  <c r="E9" i="2"/>
  <c r="G9" i="8"/>
  <c r="G11" i="8" s="1"/>
  <c r="E11" i="2" s="1"/>
  <c r="F27" i="11"/>
  <c r="G29" i="12" s="1"/>
  <c r="G30" i="12" s="1"/>
  <c r="E20" i="2" s="1"/>
  <c r="E21" i="2" s="1"/>
  <c r="G21" i="2" s="1"/>
  <c r="E28" i="13"/>
  <c r="G28" i="13" s="1"/>
  <c r="G15" i="9"/>
  <c r="E12" i="2" s="1"/>
  <c r="E9" i="4" l="1"/>
  <c r="E13" i="2"/>
  <c r="G13" i="2" s="1"/>
  <c r="G24" i="2" s="1"/>
  <c r="E13" i="4" l="1"/>
  <c r="E14" i="4"/>
  <c r="E16" i="4" l="1"/>
  <c r="G16" i="4" s="1"/>
  <c r="G19" i="4" s="1"/>
</calcChain>
</file>

<file path=xl/sharedStrings.xml><?xml version="1.0" encoding="utf-8"?>
<sst xmlns="http://schemas.openxmlformats.org/spreadsheetml/2006/main" count="260" uniqueCount="133">
  <si>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</si>
  <si>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</si>
  <si>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</si>
  <si>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</si>
  <si>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</si>
  <si>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</si>
  <si>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</si>
  <si>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</si>
  <si>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</si>
  <si>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</si>
  <si>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</si>
  <si>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</si>
  <si>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</si>
  <si>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</si>
  <si>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</si>
  <si>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</si>
  <si>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</si>
  <si>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</si>
  <si>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</si>
  <si>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</si>
  <si>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</si>
  <si>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</si>
  <si>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</si>
  <si>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</si>
  <si>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</si>
  <si>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</si>
  <si>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</si>
  <si>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</si>
  <si>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</si>
  <si>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</si>
  <si>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</si>
  <si>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</si>
  <si>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</si>
  <si>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</si>
  <si>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</si>
  <si>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</si>
  <si>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</si>
  <si>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</si>
  <si>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</si>
  <si>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</si>
  <si>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</si>
  <si>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</si>
  <si>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</si>
  <si>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</si>
  <si>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</si>
  <si>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</si>
  <si>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</si>
  <si>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</si>
  <si>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</si>
  <si>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</si>
  <si>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</si>
  <si>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</si>
  <si>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</si>
  <si>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</si>
  <si>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</si>
  <si>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</si>
  <si>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</si>
  <si>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</si>
  <si>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</si>
  <si>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</si>
  <si>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</si>
  <si>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</si>
  <si>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</si>
  <si>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</si>
  <si>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</si>
  <si>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</si>
  <si>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</si>
  <si>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</si>
  <si>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</si>
  <si>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</si>
  <si>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</si>
  <si>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</si>
  <si>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</si>
  <si>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</si>
  <si>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</si>
  <si>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</si>
  <si>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</si>
  <si>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</si>
  <si>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</si>
  <si>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</si>
  <si>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</si>
  <si>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</si>
  <si>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</si>
  <si>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</si>
  <si>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</si>
  <si>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</si>
  <si>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</si>
  <si>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</si>
  <si>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</si>
  <si>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</si>
  <si>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</si>
  <si>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</si>
  <si>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</si>
  <si>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</si>
  <si>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</si>
  <si>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</si>
  <si>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</si>
  <si>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</si>
  <si>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</si>
  <si>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</si>
  <si>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</si>
  <si>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</si>
  <si>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</si>
  <si>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</si>
  <si>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</si>
  <si>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</si>
  <si>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</si>
  <si>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</si>
  <si>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</si>
  <si>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</si>
  <si>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</si>
  <si>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</si>
  <si>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</si>
  <si>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Afregningsmålere, elektroniske ≤ Ø 110mm (Qn 10)</t>
  </si>
  <si>
    <t>Arbejdsplads</t>
  </si>
  <si>
    <t>Køretøjer, personbil</t>
  </si>
  <si>
    <t>Filteranlæg, åbne filtre, enkelt filtrering, Mek./EL</t>
  </si>
  <si>
    <t>Administrationbygninger</t>
  </si>
  <si>
    <t>Køretøjer, entreprenørmaskiner</t>
  </si>
  <si>
    <t>SRO anlæg</t>
  </si>
  <si>
    <t>SRO-anlæg, vandværk</t>
  </si>
  <si>
    <t>SRO-brønd/kvarterbrønd/sektionsbrønd, Mek./EL</t>
  </si>
  <si>
    <t>Stik på ledningsnet, Mek./EL</t>
  </si>
  <si>
    <t>Pumpestation (inkl. evt. hydrofor)/trykforøger, Mek./EL</t>
  </si>
  <si>
    <t>Pumpestation (inkl. evt. hydrofor)/trykforøger, Konstruktioner</t>
  </si>
  <si>
    <t>Ventiler på Ø 50mm &lt; Ledningsnet ≤ Ø110 mm</t>
  </si>
  <si>
    <t>Ventiler på Ø110 mm &lt; Ledningsnet ≤ Ø 250 mm</t>
  </si>
  <si>
    <t>Ø 50mm &lt; Ledningsnet ≤ Ø110 mm</t>
  </si>
  <si>
    <t>SRO-brønd/kvarterbrønd/sektionsbrønd, SRO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</si>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</sst>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00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1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4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>
      <alignment horizontal="center" vertical="center"/>
    </xf>
    <xf numFmtId="0" fontId="16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6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6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8" fillId="10" borderId="11" xfId="0" quotePrefix="1" applyFont="1" applyFill="1" applyBorder="1" applyAlignment="1">
      <alignment horizontal="left"/>
    </xf>
    <xf numFmtId="0" fontId="8" fillId="10" borderId="3" xfId="0" quotePrefix="1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5" t="s">
        <v>11</v>
      </c>
      <c r="E6" s="45"/>
      <c r="F6" s="45"/>
      <c r="G6" s="45"/>
      <c r="H6" s="4"/>
      <c r="I6" s="1"/>
    </row>
    <row r="7" spans="1:9" ht="15" customHeight="1" x14ac:dyDescent="0.25">
      <c r="A7" s="1"/>
      <c r="B7" s="1"/>
      <c r="C7" s="4"/>
      <c r="D7" s="45"/>
      <c r="E7" s="45"/>
      <c r="F7" s="45"/>
      <c r="G7" s="45"/>
      <c r="H7" s="4"/>
      <c r="I7" s="1"/>
    </row>
    <row r="8" spans="1:9" ht="15.75" x14ac:dyDescent="0.25">
      <c r="A8" s="1"/>
      <c r="B8" s="1"/>
      <c r="C8" s="5"/>
      <c r="D8" s="53" t="s">
        <v>112</v>
      </c>
      <c r="E8" s="53"/>
      <c r="F8" s="53"/>
      <c r="G8" s="53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2" t="s">
        <v>12</v>
      </c>
      <c r="E11" s="52"/>
      <c r="F11" s="52"/>
      <c r="G11" s="52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3" t="s">
        <v>23</v>
      </c>
      <c r="E13" s="64"/>
      <c r="F13" s="64"/>
      <c r="G13" s="65"/>
      <c r="H13" s="1"/>
      <c r="I13" s="1"/>
    </row>
    <row r="14" spans="1:9" x14ac:dyDescent="0.25">
      <c r="A14" s="1"/>
      <c r="B14" s="1"/>
      <c r="C14" s="3" t="s">
        <v>14</v>
      </c>
      <c r="D14" s="66" t="s">
        <v>22</v>
      </c>
      <c r="E14" s="67"/>
      <c r="F14" s="67"/>
      <c r="G14" s="68"/>
      <c r="H14" s="1"/>
      <c r="I14" s="1"/>
    </row>
    <row r="15" spans="1:9" x14ac:dyDescent="0.25">
      <c r="A15" s="1"/>
      <c r="B15" s="1"/>
      <c r="C15" s="3" t="s">
        <v>15</v>
      </c>
      <c r="D15" s="54" t="s">
        <v>24</v>
      </c>
      <c r="E15" s="55"/>
      <c r="F15" s="55"/>
      <c r="G15" s="56"/>
      <c r="H15" s="1"/>
      <c r="I15" s="1"/>
    </row>
    <row r="16" spans="1:9" x14ac:dyDescent="0.25">
      <c r="A16" s="1"/>
      <c r="B16" s="1"/>
      <c r="C16" s="3" t="s">
        <v>16</v>
      </c>
      <c r="D16" s="57" t="s">
        <v>25</v>
      </c>
      <c r="E16" s="58"/>
      <c r="F16" s="58"/>
      <c r="G16" s="59"/>
      <c r="H16" s="1"/>
      <c r="I16" s="1"/>
    </row>
    <row r="17" spans="1:9" x14ac:dyDescent="0.25">
      <c r="A17" s="1"/>
      <c r="B17" s="1"/>
      <c r="C17" s="3" t="s">
        <v>17</v>
      </c>
      <c r="D17" s="57" t="s">
        <v>26</v>
      </c>
      <c r="E17" s="58"/>
      <c r="F17" s="58"/>
      <c r="G17" s="59"/>
      <c r="H17" s="1"/>
      <c r="I17" s="1"/>
    </row>
    <row r="18" spans="1:9" x14ac:dyDescent="0.25">
      <c r="A18" s="1"/>
      <c r="B18" s="1"/>
      <c r="C18" s="3" t="s">
        <v>18</v>
      </c>
      <c r="D18" s="60" t="s">
        <v>32</v>
      </c>
      <c r="E18" s="61"/>
      <c r="F18" s="61"/>
      <c r="G18" s="62"/>
      <c r="H18" s="1"/>
      <c r="I18" s="1"/>
    </row>
    <row r="19" spans="1:9" x14ac:dyDescent="0.25">
      <c r="A19" s="1"/>
      <c r="B19" s="1"/>
      <c r="C19" s="3" t="s">
        <v>19</v>
      </c>
      <c r="D19" s="46" t="s">
        <v>5</v>
      </c>
      <c r="E19" s="47"/>
      <c r="F19" s="47"/>
      <c r="G19" s="48"/>
      <c r="H19" s="1"/>
      <c r="I19" s="1"/>
    </row>
    <row r="20" spans="1:9" x14ac:dyDescent="0.25">
      <c r="A20" s="1"/>
      <c r="B20" s="1"/>
      <c r="C20" s="3" t="s">
        <v>20</v>
      </c>
      <c r="D20" s="46" t="s">
        <v>28</v>
      </c>
      <c r="E20" s="47"/>
      <c r="F20" s="47"/>
      <c r="G20" s="48"/>
      <c r="H20" s="1"/>
      <c r="I20" s="1"/>
    </row>
    <row r="21" spans="1:9" x14ac:dyDescent="0.25">
      <c r="A21" s="1"/>
      <c r="B21" s="1"/>
      <c r="C21" s="3" t="s">
        <v>21</v>
      </c>
      <c r="D21" s="49" t="s">
        <v>29</v>
      </c>
      <c r="E21" s="50"/>
      <c r="F21" s="50"/>
      <c r="G21" s="5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topLeftCell="A19" zoomScaleNormal="100" workbookViewId="0">
      <selection activeCell="I28" sqref="I28"/>
    </sheetView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8" t="s">
        <v>6</v>
      </c>
      <c r="C3" s="98"/>
      <c r="D3" s="98"/>
      <c r="E3" s="98"/>
      <c r="F3" s="98"/>
      <c r="G3" s="98"/>
      <c r="H3" s="98"/>
      <c r="I3" s="1"/>
    </row>
    <row r="4" spans="1:9" ht="15" customHeight="1" x14ac:dyDescent="0.25">
      <c r="A4" s="1"/>
      <c r="B4" s="98"/>
      <c r="C4" s="98"/>
      <c r="D4" s="98"/>
      <c r="E4" s="98"/>
      <c r="F4" s="98"/>
      <c r="G4" s="98"/>
      <c r="H4" s="9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45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83" t="s">
        <v>47</v>
      </c>
      <c r="C9" s="84"/>
      <c r="D9" s="84"/>
      <c r="E9" s="84"/>
      <c r="F9" s="85"/>
      <c r="G9" s="35">
        <v>51479722</v>
      </c>
      <c r="H9" s="16" t="s">
        <v>4</v>
      </c>
      <c r="I9" s="1"/>
    </row>
    <row r="10" spans="1:9" x14ac:dyDescent="0.25">
      <c r="A10" s="1"/>
      <c r="B10" s="69" t="s">
        <v>48</v>
      </c>
      <c r="C10" s="70"/>
      <c r="D10" s="70"/>
      <c r="E10" s="70"/>
      <c r="F10" s="70"/>
      <c r="G10" s="70"/>
      <c r="H10" s="71"/>
      <c r="I10" s="1"/>
    </row>
    <row r="11" spans="1:9" x14ac:dyDescent="0.25">
      <c r="A11" s="1"/>
      <c r="B11" s="79" t="s">
        <v>49</v>
      </c>
      <c r="C11" s="80"/>
      <c r="D11" s="81"/>
      <c r="E11" s="37">
        <v>7718717</v>
      </c>
      <c r="F11" s="10" t="s">
        <v>4</v>
      </c>
      <c r="G11" s="19"/>
      <c r="H11" s="25"/>
      <c r="I11" s="1"/>
    </row>
    <row r="12" spans="1:9" x14ac:dyDescent="0.25">
      <c r="A12" s="1"/>
      <c r="B12" s="79" t="s">
        <v>50</v>
      </c>
      <c r="C12" s="80"/>
      <c r="D12" s="81"/>
      <c r="E12" s="37">
        <v>1964168</v>
      </c>
      <c r="F12" s="10" t="s">
        <v>4</v>
      </c>
      <c r="G12" s="13"/>
      <c r="H12" s="26"/>
      <c r="I12" s="1"/>
    </row>
    <row r="13" spans="1:9" x14ac:dyDescent="0.25">
      <c r="A13" s="1"/>
      <c r="B13" s="79" t="s">
        <v>51</v>
      </c>
      <c r="C13" s="80"/>
      <c r="D13" s="81"/>
      <c r="E13" s="37">
        <v>756699</v>
      </c>
      <c r="F13" s="10" t="s">
        <v>4</v>
      </c>
      <c r="G13" s="13"/>
      <c r="H13" s="26"/>
      <c r="I13" s="1"/>
    </row>
    <row r="14" spans="1:9" x14ac:dyDescent="0.25">
      <c r="A14" s="1"/>
      <c r="B14" s="79" t="s">
        <v>52</v>
      </c>
      <c r="C14" s="80"/>
      <c r="D14" s="81"/>
      <c r="E14" s="37">
        <v>1332733</v>
      </c>
      <c r="F14" s="10" t="s">
        <v>4</v>
      </c>
      <c r="G14" s="13"/>
      <c r="H14" s="26"/>
      <c r="I14" s="1"/>
    </row>
    <row r="15" spans="1:9" x14ac:dyDescent="0.25">
      <c r="A15" s="1"/>
      <c r="B15" s="83" t="s">
        <v>53</v>
      </c>
      <c r="C15" s="84"/>
      <c r="D15" s="85"/>
      <c r="E15" s="32">
        <f>SUM(E11:E14)</f>
        <v>11772317</v>
      </c>
      <c r="F15" s="16" t="s">
        <v>4</v>
      </c>
      <c r="G15" s="13"/>
      <c r="H15" s="26"/>
      <c r="I15" s="1"/>
    </row>
    <row r="16" spans="1:9" x14ac:dyDescent="0.25">
      <c r="A16" s="1"/>
      <c r="B16" s="79" t="s">
        <v>54</v>
      </c>
      <c r="C16" s="80"/>
      <c r="D16" s="81"/>
      <c r="E16" s="37">
        <v>2534074</v>
      </c>
      <c r="F16" s="10" t="s">
        <v>4</v>
      </c>
      <c r="G16" s="13"/>
      <c r="H16" s="26"/>
      <c r="I16" s="1"/>
    </row>
    <row r="17" spans="1:9" x14ac:dyDescent="0.25">
      <c r="A17" s="1"/>
      <c r="B17" s="79" t="s">
        <v>55</v>
      </c>
      <c r="C17" s="80"/>
      <c r="D17" s="81"/>
      <c r="E17" s="37">
        <v>0</v>
      </c>
      <c r="F17" s="10" t="s">
        <v>4</v>
      </c>
      <c r="G17" s="13"/>
      <c r="H17" s="26"/>
      <c r="I17" s="1"/>
    </row>
    <row r="18" spans="1:9" x14ac:dyDescent="0.25">
      <c r="A18" s="1"/>
      <c r="B18" s="79" t="s">
        <v>56</v>
      </c>
      <c r="C18" s="80"/>
      <c r="D18" s="81"/>
      <c r="E18" s="37">
        <v>0</v>
      </c>
      <c r="F18" s="10" t="s">
        <v>4</v>
      </c>
      <c r="G18" s="13"/>
      <c r="H18" s="26"/>
      <c r="I18" s="1"/>
    </row>
    <row r="19" spans="1:9" x14ac:dyDescent="0.25">
      <c r="A19" s="1"/>
      <c r="B19" s="83" t="s">
        <v>57</v>
      </c>
      <c r="C19" s="84"/>
      <c r="D19" s="85"/>
      <c r="E19" s="32">
        <f>SUM(E16:E18)</f>
        <v>2534074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2" t="s">
        <v>58</v>
      </c>
      <c r="C20" s="73"/>
      <c r="D20" s="74"/>
      <c r="E20" s="37">
        <v>-2032632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2" t="s">
        <v>59</v>
      </c>
      <c r="C21" s="73"/>
      <c r="D21" s="74"/>
      <c r="E21" s="37">
        <v>-10845215</v>
      </c>
      <c r="F21" s="10" t="s">
        <v>4</v>
      </c>
      <c r="G21" s="13"/>
      <c r="H21" s="26"/>
      <c r="I21" s="1"/>
    </row>
    <row r="22" spans="1:9" x14ac:dyDescent="0.25">
      <c r="A22" s="1"/>
      <c r="B22" s="79" t="s">
        <v>60</v>
      </c>
      <c r="C22" s="80"/>
      <c r="D22" s="81"/>
      <c r="E22" s="37">
        <v>-1428544</v>
      </c>
      <c r="F22" s="10" t="s">
        <v>4</v>
      </c>
      <c r="G22" s="13"/>
      <c r="H22" s="26"/>
      <c r="I22" s="1"/>
    </row>
    <row r="23" spans="1:9" x14ac:dyDescent="0.25">
      <c r="A23" s="1"/>
      <c r="B23" s="79" t="s">
        <v>61</v>
      </c>
      <c r="C23" s="80"/>
      <c r="D23" s="81"/>
      <c r="E23" s="37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2" t="s">
        <v>62</v>
      </c>
      <c r="C24" s="73"/>
      <c r="D24" s="74"/>
      <c r="E24" s="37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2" t="s">
        <v>63</v>
      </c>
      <c r="C25" s="73"/>
      <c r="D25" s="74"/>
      <c r="E25" s="37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2" t="s">
        <v>64</v>
      </c>
      <c r="C26" s="73"/>
      <c r="D26" s="74"/>
      <c r="E26" s="37">
        <v>0</v>
      </c>
      <c r="F26" s="10" t="s">
        <v>4</v>
      </c>
      <c r="G26" s="13"/>
      <c r="H26" s="26"/>
      <c r="I26" s="1"/>
    </row>
    <row r="27" spans="1:9" x14ac:dyDescent="0.25">
      <c r="A27" s="1"/>
      <c r="B27" s="83" t="s">
        <v>65</v>
      </c>
      <c r="C27" s="84"/>
      <c r="D27" s="85"/>
      <c r="E27" s="32">
        <f>SUM(E20:E26)</f>
        <v>-14306391</v>
      </c>
      <c r="F27" s="16" t="s">
        <v>4</v>
      </c>
      <c r="G27" s="14"/>
      <c r="H27" s="27"/>
      <c r="I27" s="1"/>
    </row>
    <row r="28" spans="1:9" x14ac:dyDescent="0.25">
      <c r="A28" s="1"/>
      <c r="B28" s="83" t="s">
        <v>66</v>
      </c>
      <c r="C28" s="84"/>
      <c r="D28" s="85"/>
      <c r="E28" s="32">
        <f>E15+E19+E27</f>
        <v>0</v>
      </c>
      <c r="F28" s="16" t="s">
        <v>4</v>
      </c>
      <c r="G28" s="31">
        <f>IF(E28&lt;0,0,-E28)</f>
        <v>0</v>
      </c>
      <c r="H28" s="16" t="s">
        <v>4</v>
      </c>
      <c r="I28" s="1"/>
    </row>
    <row r="29" spans="1:9" x14ac:dyDescent="0.25">
      <c r="A29" s="1"/>
      <c r="B29" s="69" t="s">
        <v>67</v>
      </c>
      <c r="C29" s="70"/>
      <c r="D29" s="70"/>
      <c r="E29" s="70"/>
      <c r="F29" s="70"/>
      <c r="G29" s="70"/>
      <c r="H29" s="71"/>
      <c r="I29" s="1"/>
    </row>
    <row r="30" spans="1:9" x14ac:dyDescent="0.25">
      <c r="A30" s="1"/>
      <c r="B30" s="83" t="s">
        <v>67</v>
      </c>
      <c r="C30" s="84"/>
      <c r="D30" s="85"/>
      <c r="E30" s="35">
        <v>0</v>
      </c>
      <c r="F30" s="16" t="s">
        <v>4</v>
      </c>
      <c r="G30" s="32">
        <f>-$E$30</f>
        <v>0</v>
      </c>
      <c r="H30" s="16" t="s">
        <v>4</v>
      </c>
      <c r="I30" s="1"/>
    </row>
    <row r="31" spans="1:9" x14ac:dyDescent="0.25">
      <c r="A31" s="1"/>
      <c r="B31" s="99" t="s">
        <v>130</v>
      </c>
      <c r="C31" s="70"/>
      <c r="D31" s="70"/>
      <c r="E31" s="70"/>
      <c r="F31" s="70"/>
      <c r="G31" s="70"/>
      <c r="H31" s="71"/>
      <c r="I31" s="1"/>
    </row>
    <row r="32" spans="1:9" ht="30" customHeight="1" x14ac:dyDescent="0.25">
      <c r="A32" s="1"/>
      <c r="B32" s="72" t="s">
        <v>131</v>
      </c>
      <c r="C32" s="73"/>
      <c r="D32" s="74"/>
      <c r="E32" s="37">
        <v>58614897</v>
      </c>
      <c r="F32" s="10" t="s">
        <v>4</v>
      </c>
      <c r="G32" s="19"/>
      <c r="H32" s="25"/>
      <c r="I32" s="1"/>
    </row>
    <row r="33" spans="1:9" x14ac:dyDescent="0.25">
      <c r="A33" s="1"/>
      <c r="B33" s="79" t="s">
        <v>68</v>
      </c>
      <c r="C33" s="80"/>
      <c r="D33" s="81"/>
      <c r="E33" s="37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2" t="s">
        <v>69</v>
      </c>
      <c r="C34" s="73"/>
      <c r="D34" s="74"/>
      <c r="E34" s="37">
        <v>78467</v>
      </c>
      <c r="F34" s="10" t="s">
        <v>4</v>
      </c>
      <c r="G34" s="14"/>
      <c r="H34" s="27"/>
      <c r="I34" s="1"/>
    </row>
    <row r="35" spans="1:9" x14ac:dyDescent="0.25">
      <c r="A35" s="1"/>
      <c r="B35" s="83" t="s">
        <v>70</v>
      </c>
      <c r="C35" s="84"/>
      <c r="D35" s="85"/>
      <c r="E35" s="32">
        <f>SUM(E32:E34)</f>
        <v>58693364</v>
      </c>
      <c r="F35" s="16" t="s">
        <v>4</v>
      </c>
      <c r="G35" s="32">
        <f>-E35</f>
        <v>-58693364</v>
      </c>
      <c r="H35" s="16" t="s">
        <v>4</v>
      </c>
      <c r="I35" s="1"/>
    </row>
    <row r="36" spans="1:9" x14ac:dyDescent="0.25">
      <c r="A36" s="1"/>
      <c r="B36" s="69" t="s">
        <v>46</v>
      </c>
      <c r="C36" s="70"/>
      <c r="D36" s="70"/>
      <c r="E36" s="70"/>
      <c r="F36" s="71"/>
      <c r="G36" s="33">
        <f>$G$9+$G$28+$G$30+$G$35</f>
        <v>-7213642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132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109</v>
      </c>
      <c r="C8" s="70"/>
      <c r="D8" s="70"/>
      <c r="E8" s="70"/>
      <c r="F8" s="70"/>
      <c r="G8" s="70"/>
      <c r="H8" s="71"/>
      <c r="I8" s="1"/>
    </row>
    <row r="9" spans="1:9" ht="30" customHeight="1" x14ac:dyDescent="0.25">
      <c r="A9" s="1"/>
      <c r="B9" s="72" t="s">
        <v>31</v>
      </c>
      <c r="C9" s="73"/>
      <c r="D9" s="74"/>
      <c r="E9" s="34">
        <f>'Fane 3. Grundlag'!G12</f>
        <v>55305646.05550985</v>
      </c>
      <c r="F9" s="7" t="s">
        <v>4</v>
      </c>
      <c r="G9" s="8"/>
      <c r="H9" s="9"/>
      <c r="I9" s="1"/>
    </row>
    <row r="10" spans="1:9" x14ac:dyDescent="0.25">
      <c r="A10" s="1"/>
      <c r="B10" s="82" t="s">
        <v>97</v>
      </c>
      <c r="C10" s="80"/>
      <c r="D10" s="81"/>
      <c r="E10" s="20">
        <f>'Fane 3. Grundlag'!G11</f>
        <v>31106164.797282375</v>
      </c>
      <c r="F10" s="7" t="s">
        <v>4</v>
      </c>
      <c r="G10" s="11"/>
      <c r="H10" s="12"/>
      <c r="I10" s="1"/>
    </row>
    <row r="11" spans="1:9" x14ac:dyDescent="0.25">
      <c r="A11" s="1"/>
      <c r="B11" s="79" t="s">
        <v>25</v>
      </c>
      <c r="C11" s="80"/>
      <c r="D11" s="81"/>
      <c r="E11" s="20">
        <f>'Fane 4. Individuelt eff.krav'!G11</f>
        <v>483989.62516454951</v>
      </c>
      <c r="F11" s="7" t="s">
        <v>4</v>
      </c>
      <c r="G11" s="13"/>
      <c r="H11" s="12"/>
      <c r="I11" s="1"/>
    </row>
    <row r="12" spans="1:9" x14ac:dyDescent="0.25">
      <c r="A12" s="1"/>
      <c r="B12" s="79" t="s">
        <v>26</v>
      </c>
      <c r="C12" s="80"/>
      <c r="D12" s="81"/>
      <c r="E12" s="20">
        <f>'Fane 5. Generelt eff.krav'!G15</f>
        <v>329109.08356454957</v>
      </c>
      <c r="F12" s="7" t="s">
        <v>4</v>
      </c>
      <c r="G12" s="14"/>
      <c r="H12" s="15"/>
      <c r="I12" s="1"/>
    </row>
    <row r="13" spans="1:9" x14ac:dyDescent="0.25">
      <c r="A13" s="1"/>
      <c r="B13" s="83" t="s">
        <v>43</v>
      </c>
      <c r="C13" s="84"/>
      <c r="D13" s="85"/>
      <c r="E13" s="32">
        <f>$E$9-$E$11-$E$12</f>
        <v>54492547.346780755</v>
      </c>
      <c r="F13" s="17" t="s">
        <v>4</v>
      </c>
      <c r="G13" s="32">
        <f>E13</f>
        <v>54492547.346780755</v>
      </c>
      <c r="H13" s="17" t="s">
        <v>4</v>
      </c>
      <c r="I13" s="1"/>
    </row>
    <row r="14" spans="1:9" x14ac:dyDescent="0.25">
      <c r="A14" s="1"/>
      <c r="B14" s="69" t="s">
        <v>32</v>
      </c>
      <c r="C14" s="70"/>
      <c r="D14" s="70"/>
      <c r="E14" s="70"/>
      <c r="F14" s="70"/>
      <c r="G14" s="70"/>
      <c r="H14" s="71"/>
      <c r="I14" s="1"/>
    </row>
    <row r="15" spans="1:9" x14ac:dyDescent="0.25">
      <c r="A15" s="1"/>
      <c r="B15" s="75" t="s">
        <v>108</v>
      </c>
      <c r="C15" s="76"/>
      <c r="D15" s="77"/>
      <c r="E15" s="32">
        <f>'Fane 6. Hist. over el. underdæk'!G13</f>
        <v>0</v>
      </c>
      <c r="F15" s="17" t="s">
        <v>4</v>
      </c>
      <c r="G15" s="32">
        <f>E15</f>
        <v>0</v>
      </c>
      <c r="H15" s="17" t="s">
        <v>4</v>
      </c>
      <c r="I15" s="1"/>
    </row>
    <row r="16" spans="1:9" x14ac:dyDescent="0.25">
      <c r="A16" s="1"/>
      <c r="B16" s="69" t="s">
        <v>28</v>
      </c>
      <c r="C16" s="70"/>
      <c r="D16" s="70"/>
      <c r="E16" s="70"/>
      <c r="F16" s="70"/>
      <c r="G16" s="70"/>
      <c r="H16" s="71"/>
      <c r="I16" s="1"/>
    </row>
    <row r="17" spans="1:9" x14ac:dyDescent="0.25">
      <c r="A17" s="1"/>
      <c r="B17" s="72" t="s">
        <v>35</v>
      </c>
      <c r="C17" s="73"/>
      <c r="D17" s="74"/>
      <c r="E17" s="20">
        <f>'Fane 8. Korrektion af PL2015'!G11</f>
        <v>3494877</v>
      </c>
      <c r="F17" s="7" t="s">
        <v>4</v>
      </c>
      <c r="G17" s="19"/>
      <c r="H17" s="9"/>
      <c r="I17" s="1"/>
    </row>
    <row r="18" spans="1:9" x14ac:dyDescent="0.25">
      <c r="A18" s="1"/>
      <c r="B18" s="72" t="s">
        <v>36</v>
      </c>
      <c r="C18" s="73"/>
      <c r="D18" s="74"/>
      <c r="E18" s="20">
        <f>'Fane 8. Korrektion af PL2015'!G17</f>
        <v>-5299</v>
      </c>
      <c r="F18" s="7" t="s">
        <v>4</v>
      </c>
      <c r="G18" s="13"/>
      <c r="H18" s="12"/>
      <c r="I18" s="1"/>
    </row>
    <row r="19" spans="1:9" ht="30" customHeight="1" x14ac:dyDescent="0.25">
      <c r="A19" s="1"/>
      <c r="B19" s="72" t="s">
        <v>98</v>
      </c>
      <c r="C19" s="73"/>
      <c r="D19" s="74"/>
      <c r="E19" s="20">
        <f>'Fane 8. Korrektion af PL2015'!G23</f>
        <v>158310</v>
      </c>
      <c r="F19" s="7" t="s">
        <v>4</v>
      </c>
      <c r="G19" s="11"/>
      <c r="H19" s="12"/>
      <c r="I19" s="1"/>
    </row>
    <row r="20" spans="1:9" ht="28.5" customHeight="1" x14ac:dyDescent="0.25">
      <c r="A20" s="1"/>
      <c r="B20" s="72" t="s">
        <v>37</v>
      </c>
      <c r="C20" s="73"/>
      <c r="D20" s="74"/>
      <c r="E20" s="20">
        <f>'Fane 8. Korrektion af PL2015'!G30</f>
        <v>1109039.0400000005</v>
      </c>
      <c r="F20" s="7" t="s">
        <v>4</v>
      </c>
      <c r="G20" s="14"/>
      <c r="H20" s="15"/>
      <c r="I20" s="1"/>
    </row>
    <row r="21" spans="1:9" x14ac:dyDescent="0.25">
      <c r="A21" s="1"/>
      <c r="B21" s="75" t="s">
        <v>38</v>
      </c>
      <c r="C21" s="76"/>
      <c r="D21" s="77"/>
      <c r="E21" s="32">
        <f>SUM(E17:E20)</f>
        <v>4756927.040000001</v>
      </c>
      <c r="F21" s="17" t="s">
        <v>4</v>
      </c>
      <c r="G21" s="32">
        <f>E21</f>
        <v>4756927.040000001</v>
      </c>
      <c r="H21" s="17" t="s">
        <v>4</v>
      </c>
      <c r="I21" s="1"/>
    </row>
    <row r="22" spans="1:9" x14ac:dyDescent="0.25">
      <c r="A22" s="1"/>
      <c r="B22" s="69" t="s">
        <v>33</v>
      </c>
      <c r="C22" s="70"/>
      <c r="D22" s="70"/>
      <c r="E22" s="70"/>
      <c r="F22" s="70"/>
      <c r="G22" s="70"/>
      <c r="H22" s="71"/>
      <c r="I22" s="1"/>
    </row>
    <row r="23" spans="1:9" x14ac:dyDescent="0.25">
      <c r="A23" s="1"/>
      <c r="B23" s="75" t="s">
        <v>34</v>
      </c>
      <c r="C23" s="76"/>
      <c r="D23" s="77"/>
      <c r="E23" s="32">
        <f>'Fane 9. Kontrol af PL2015'!G36</f>
        <v>-7213642</v>
      </c>
      <c r="F23" s="17" t="s">
        <v>4</v>
      </c>
      <c r="G23" s="32">
        <f>E23</f>
        <v>-7213642</v>
      </c>
      <c r="H23" s="17" t="s">
        <v>4</v>
      </c>
      <c r="I23" s="1"/>
    </row>
    <row r="24" spans="1:9" x14ac:dyDescent="0.25">
      <c r="A24" s="1"/>
      <c r="B24" s="69" t="s">
        <v>39</v>
      </c>
      <c r="C24" s="70"/>
      <c r="D24" s="70"/>
      <c r="E24" s="70"/>
      <c r="F24" s="71"/>
      <c r="G24" s="33">
        <f>G13+G15+G21+G23</f>
        <v>52035832.386780754</v>
      </c>
      <c r="H24" s="18" t="s">
        <v>4</v>
      </c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</sheetData>
  <sheetProtection password="C6BD" sheet="1" objects="1" scenarios="1"/>
  <mergeCells count="18"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  <mergeCell ref="B21:D21"/>
    <mergeCell ref="B19:D1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10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109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2" t="s">
        <v>40</v>
      </c>
      <c r="C9" s="73"/>
      <c r="D9" s="74"/>
      <c r="E9" s="36">
        <f>'Fane 2.1. Økonomisk ramme 2017'!$E$9-'Fane 2.1. Økonomisk ramme 2017'!$E$11-'Fane 2.1. Økonomisk ramme 2017'!$E$12</f>
        <v>54492547.346780755</v>
      </c>
      <c r="F9" s="7" t="s">
        <v>4</v>
      </c>
      <c r="G9" s="8"/>
      <c r="H9" s="9"/>
      <c r="I9" s="1"/>
    </row>
    <row r="10" spans="1:9" x14ac:dyDescent="0.25">
      <c r="A10" s="1"/>
      <c r="B10" s="82" t="s">
        <v>110</v>
      </c>
      <c r="C10" s="86"/>
      <c r="D10" s="87"/>
      <c r="E10" s="37">
        <f>'Fane 3. Grundlag'!$G$9*(1-'Fane 4. Individuelt eff.krav'!$G$10/100)-'Fane 5. Generelt eff.krav'!G$11</f>
        <v>9590646.96789838</v>
      </c>
      <c r="F10" s="7" t="s">
        <v>4</v>
      </c>
      <c r="G10" s="11"/>
      <c r="H10" s="12"/>
      <c r="I10" s="1"/>
    </row>
    <row r="11" spans="1:9" x14ac:dyDescent="0.25">
      <c r="A11" s="1"/>
      <c r="B11" s="82" t="s">
        <v>111</v>
      </c>
      <c r="C11" s="86"/>
      <c r="D11" s="87"/>
      <c r="E11" s="37">
        <f>'Fane 3. Grundlag'!$G$10*(1-'Fane 4. Individuelt eff.krav'!$G$10/100)-'Fane 5. Generelt eff.krav'!G$14</f>
        <v>13795735.581599999</v>
      </c>
      <c r="F11" s="7" t="s">
        <v>4</v>
      </c>
      <c r="G11" s="11"/>
      <c r="H11" s="12"/>
      <c r="I11" s="1"/>
    </row>
    <row r="12" spans="1:9" x14ac:dyDescent="0.25">
      <c r="A12" s="1"/>
      <c r="B12" s="82" t="s">
        <v>97</v>
      </c>
      <c r="C12" s="86"/>
      <c r="D12" s="87"/>
      <c r="E12" s="37">
        <f>'Fane 2.1. Økonomisk ramme 2017'!$E$10</f>
        <v>31106164.797282375</v>
      </c>
      <c r="F12" s="7" t="s">
        <v>4</v>
      </c>
      <c r="G12" s="11"/>
      <c r="H12" s="12"/>
      <c r="I12" s="1"/>
    </row>
    <row r="13" spans="1:9" x14ac:dyDescent="0.25">
      <c r="A13" s="1"/>
      <c r="B13" s="79" t="s">
        <v>41</v>
      </c>
      <c r="C13" s="80"/>
      <c r="D13" s="81"/>
      <c r="E13" s="37">
        <f>$E$9*0.0127</f>
        <v>692055.35130411561</v>
      </c>
      <c r="F13" s="7" t="s">
        <v>4</v>
      </c>
      <c r="G13" s="13"/>
      <c r="H13" s="12"/>
      <c r="I13" s="1"/>
    </row>
    <row r="14" spans="1:9" x14ac:dyDescent="0.25">
      <c r="A14" s="1"/>
      <c r="B14" s="79" t="s">
        <v>25</v>
      </c>
      <c r="C14" s="80"/>
      <c r="D14" s="81"/>
      <c r="E14" s="37">
        <f>('Fane 2.2. Økonomisk ramme 2018'!$E$9-'Fane 2.2. Økonomisk ramme 2018'!$E$12)*1.0127*'Fane 4. Individuelt eff.krav'!$G$10/100</f>
        <v>473667.79215754016</v>
      </c>
      <c r="F14" s="7" t="s">
        <v>4</v>
      </c>
      <c r="G14" s="13"/>
      <c r="H14" s="12"/>
      <c r="I14" s="1"/>
    </row>
    <row r="15" spans="1:9" x14ac:dyDescent="0.25">
      <c r="A15" s="1"/>
      <c r="B15" s="28" t="s">
        <v>26</v>
      </c>
      <c r="C15" s="29"/>
      <c r="D15" s="30"/>
      <c r="E15" s="37">
        <f>('Fane 3. Grundlag'!$G$9-'Fane 5. Generelt eff.krav'!G$11)*1.0127*0.02+('Fane 3. Grundlag'!$G$10-'Fane 5. Generelt eff.krav'!G$14)*1.0127*0.0091</f>
        <v>328050.30602005566</v>
      </c>
      <c r="F15" s="7" t="s">
        <v>4</v>
      </c>
      <c r="G15" s="14"/>
      <c r="H15" s="15"/>
      <c r="I15" s="1"/>
    </row>
    <row r="16" spans="1:9" x14ac:dyDescent="0.25">
      <c r="A16" s="1"/>
      <c r="B16" s="83" t="s">
        <v>43</v>
      </c>
      <c r="C16" s="84"/>
      <c r="D16" s="85"/>
      <c r="E16" s="32">
        <f>$E$9+$E$13-$E$14-$E$15</f>
        <v>54382884.599907272</v>
      </c>
      <c r="F16" s="17" t="s">
        <v>4</v>
      </c>
      <c r="G16" s="32">
        <f>E16</f>
        <v>54382884.599907272</v>
      </c>
      <c r="H16" s="17" t="s">
        <v>4</v>
      </c>
      <c r="I16" s="1"/>
    </row>
    <row r="17" spans="1:9" x14ac:dyDescent="0.25">
      <c r="A17" s="1"/>
      <c r="B17" s="69" t="s">
        <v>32</v>
      </c>
      <c r="C17" s="70"/>
      <c r="D17" s="70"/>
      <c r="E17" s="70"/>
      <c r="F17" s="70"/>
      <c r="G17" s="70"/>
      <c r="H17" s="71"/>
      <c r="I17" s="1"/>
    </row>
    <row r="18" spans="1:9" ht="15" customHeight="1" x14ac:dyDescent="0.25">
      <c r="A18" s="1"/>
      <c r="B18" s="75" t="s">
        <v>108</v>
      </c>
      <c r="C18" s="76"/>
      <c r="D18" s="77"/>
      <c r="E18" s="35">
        <f>IF('Fane 6. Hist. over el. underdæk'!$G$12&gt;1,'Fane 6. Hist. over el. underdæk'!$G$13,0)</f>
        <v>0</v>
      </c>
      <c r="F18" s="17" t="s">
        <v>4</v>
      </c>
      <c r="G18" s="32">
        <f>E18</f>
        <v>0</v>
      </c>
      <c r="H18" s="17" t="s">
        <v>4</v>
      </c>
      <c r="I18" s="1"/>
    </row>
    <row r="19" spans="1:9" x14ac:dyDescent="0.25">
      <c r="A19" s="1"/>
      <c r="B19" s="69" t="s">
        <v>42</v>
      </c>
      <c r="C19" s="70"/>
      <c r="D19" s="70"/>
      <c r="E19" s="70"/>
      <c r="F19" s="71"/>
      <c r="G19" s="33">
        <f>G16+G18</f>
        <v>54382884.599907272</v>
      </c>
      <c r="H19" s="18" t="s">
        <v>4</v>
      </c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  <row r="52" spans="1:9" x14ac:dyDescent="0.25">
      <c r="A52" s="6"/>
      <c r="B52" s="6"/>
      <c r="C52" s="6"/>
      <c r="D52" s="6"/>
      <c r="E52" s="6"/>
      <c r="F52" s="6"/>
      <c r="G52" s="6"/>
      <c r="H52" s="6"/>
      <c r="I52" s="6"/>
    </row>
  </sheetData>
  <sheetProtection password="C6BD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9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44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9" t="s">
        <v>99</v>
      </c>
      <c r="C9" s="80"/>
      <c r="D9" s="80"/>
      <c r="E9" s="80"/>
      <c r="F9" s="81"/>
      <c r="G9" s="37">
        <v>9990257.2582274787</v>
      </c>
      <c r="H9" s="10" t="s">
        <v>4</v>
      </c>
      <c r="I9" s="1"/>
    </row>
    <row r="10" spans="1:9" x14ac:dyDescent="0.25">
      <c r="A10" s="1"/>
      <c r="B10" s="79" t="s">
        <v>100</v>
      </c>
      <c r="C10" s="80"/>
      <c r="D10" s="80"/>
      <c r="E10" s="80"/>
      <c r="F10" s="81"/>
      <c r="G10" s="37">
        <v>14209224</v>
      </c>
      <c r="H10" s="10" t="s">
        <v>4</v>
      </c>
      <c r="I10" s="1"/>
    </row>
    <row r="11" spans="1:9" x14ac:dyDescent="0.25">
      <c r="A11" s="1"/>
      <c r="B11" s="79" t="s">
        <v>101</v>
      </c>
      <c r="C11" s="80"/>
      <c r="D11" s="80"/>
      <c r="E11" s="80"/>
      <c r="F11" s="81"/>
      <c r="G11" s="37">
        <v>31106164.797282375</v>
      </c>
      <c r="H11" s="10" t="s">
        <v>4</v>
      </c>
      <c r="I11" s="1"/>
    </row>
    <row r="12" spans="1:9" x14ac:dyDescent="0.25">
      <c r="A12" s="1"/>
      <c r="B12" s="69" t="s">
        <v>44</v>
      </c>
      <c r="C12" s="70"/>
      <c r="D12" s="70"/>
      <c r="E12" s="70"/>
      <c r="F12" s="71"/>
      <c r="G12" s="33">
        <f>SUM(G9:G11)</f>
        <v>55305646.05550985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102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27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25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9" t="s">
        <v>103</v>
      </c>
      <c r="C9" s="80"/>
      <c r="D9" s="80"/>
      <c r="E9" s="80"/>
      <c r="F9" s="81"/>
      <c r="G9" s="20">
        <f>'Fane 3. Grundlag'!G12-'Fane 3. Grundlag'!G11</f>
        <v>24199481.258227475</v>
      </c>
      <c r="H9" s="10" t="s">
        <v>4</v>
      </c>
      <c r="I9" s="1"/>
    </row>
    <row r="10" spans="1:9" x14ac:dyDescent="0.25">
      <c r="A10" s="1"/>
      <c r="B10" s="79" t="s">
        <v>71</v>
      </c>
      <c r="C10" s="80"/>
      <c r="D10" s="80"/>
      <c r="E10" s="80"/>
      <c r="F10" s="81"/>
      <c r="G10" s="44">
        <v>2</v>
      </c>
      <c r="H10" s="10" t="s">
        <v>72</v>
      </c>
      <c r="I10" s="1"/>
    </row>
    <row r="11" spans="1:9" x14ac:dyDescent="0.25">
      <c r="A11" s="1"/>
      <c r="B11" s="69" t="s">
        <v>25</v>
      </c>
      <c r="C11" s="70"/>
      <c r="D11" s="70"/>
      <c r="E11" s="70"/>
      <c r="F11" s="71"/>
      <c r="G11" s="33">
        <f>$G$9*$G$10/100</f>
        <v>483989.62516454951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8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88" t="s">
        <v>99</v>
      </c>
      <c r="C9" s="89"/>
      <c r="D9" s="89"/>
      <c r="E9" s="89"/>
      <c r="F9" s="90"/>
      <c r="G9" s="20">
        <f>'Fane 3. Grundlag'!G9</f>
        <v>9990257.2582274787</v>
      </c>
      <c r="H9" s="10" t="s">
        <v>4</v>
      </c>
      <c r="I9" s="1"/>
    </row>
    <row r="10" spans="1:9" x14ac:dyDescent="0.25">
      <c r="A10" s="1"/>
      <c r="B10" s="79" t="s">
        <v>26</v>
      </c>
      <c r="C10" s="80"/>
      <c r="D10" s="80"/>
      <c r="E10" s="80"/>
      <c r="F10" s="81"/>
      <c r="G10" s="42">
        <f>2</f>
        <v>2</v>
      </c>
      <c r="H10" s="10" t="s">
        <v>72</v>
      </c>
      <c r="I10" s="1"/>
    </row>
    <row r="11" spans="1:9" x14ac:dyDescent="0.25">
      <c r="A11" s="1"/>
      <c r="B11" s="83" t="s">
        <v>73</v>
      </c>
      <c r="C11" s="84"/>
      <c r="D11" s="84"/>
      <c r="E11" s="84"/>
      <c r="F11" s="85"/>
      <c r="G11" s="32">
        <f>$G$9*$G$10/100</f>
        <v>199805.14516454958</v>
      </c>
      <c r="H11" s="16" t="s">
        <v>4</v>
      </c>
      <c r="I11" s="1"/>
    </row>
    <row r="12" spans="1:9" x14ac:dyDescent="0.25">
      <c r="A12" s="1"/>
      <c r="B12" s="79" t="s">
        <v>100</v>
      </c>
      <c r="C12" s="80"/>
      <c r="D12" s="80"/>
      <c r="E12" s="80"/>
      <c r="F12" s="81"/>
      <c r="G12" s="20">
        <f>'Fane 3. Grundlag'!G10</f>
        <v>14209224</v>
      </c>
      <c r="H12" s="10" t="s">
        <v>4</v>
      </c>
      <c r="I12" s="1"/>
    </row>
    <row r="13" spans="1:9" x14ac:dyDescent="0.25">
      <c r="A13" s="1"/>
      <c r="B13" s="79" t="s">
        <v>26</v>
      </c>
      <c r="C13" s="80"/>
      <c r="D13" s="80"/>
      <c r="E13" s="80"/>
      <c r="F13" s="81"/>
      <c r="G13" s="43">
        <f>0.91</f>
        <v>0.91</v>
      </c>
      <c r="H13" s="10" t="s">
        <v>72</v>
      </c>
      <c r="I13" s="1"/>
    </row>
    <row r="14" spans="1:9" x14ac:dyDescent="0.25">
      <c r="A14" s="1"/>
      <c r="B14" s="83" t="s">
        <v>74</v>
      </c>
      <c r="C14" s="84"/>
      <c r="D14" s="84"/>
      <c r="E14" s="84"/>
      <c r="F14" s="85"/>
      <c r="G14" s="32">
        <f>$G$12*$G$13/100</f>
        <v>129303.9384</v>
      </c>
      <c r="H14" s="16" t="s">
        <v>4</v>
      </c>
      <c r="I14" s="1"/>
    </row>
    <row r="15" spans="1:9" x14ac:dyDescent="0.25">
      <c r="A15" s="1"/>
      <c r="B15" s="69" t="s">
        <v>104</v>
      </c>
      <c r="C15" s="70"/>
      <c r="D15" s="70"/>
      <c r="E15" s="70"/>
      <c r="F15" s="71"/>
      <c r="G15" s="33">
        <f>G11+G14</f>
        <v>329109.08356454957</v>
      </c>
      <c r="H15" s="1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4" max="4" width="15.140625" customWidth="1"/>
    <col min="6" max="6" width="14.140625" customWidth="1"/>
    <col min="7" max="7" width="9" customWidth="1"/>
    <col min="8" max="8" width="3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106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107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9" t="s">
        <v>76</v>
      </c>
      <c r="C9" s="80"/>
      <c r="D9" s="80"/>
      <c r="E9" s="80"/>
      <c r="F9" s="81"/>
      <c r="G9" s="37">
        <v>-8540861</v>
      </c>
      <c r="H9" s="10" t="s">
        <v>4</v>
      </c>
      <c r="I9" s="1"/>
    </row>
    <row r="10" spans="1:9" x14ac:dyDescent="0.25">
      <c r="A10" s="1"/>
      <c r="B10" s="79" t="s">
        <v>77</v>
      </c>
      <c r="C10" s="80"/>
      <c r="D10" s="80"/>
      <c r="E10" s="80"/>
      <c r="F10" s="81"/>
      <c r="G10" s="37">
        <v>-8540861</v>
      </c>
      <c r="H10" s="10" t="s">
        <v>4</v>
      </c>
      <c r="I10" s="1"/>
    </row>
    <row r="11" spans="1:9" x14ac:dyDescent="0.25">
      <c r="A11" s="1"/>
      <c r="B11" s="91" t="s">
        <v>91</v>
      </c>
      <c r="C11" s="92"/>
      <c r="D11" s="92"/>
      <c r="E11" s="92"/>
      <c r="F11" s="93"/>
      <c r="G11" s="38">
        <v>0</v>
      </c>
      <c r="H11" s="23" t="s">
        <v>4</v>
      </c>
      <c r="I11" s="1"/>
    </row>
    <row r="12" spans="1:9" x14ac:dyDescent="0.25">
      <c r="A12" s="1"/>
      <c r="B12" s="79" t="s">
        <v>78</v>
      </c>
      <c r="C12" s="80"/>
      <c r="D12" s="80"/>
      <c r="E12" s="80"/>
      <c r="F12" s="81"/>
      <c r="G12" s="37">
        <v>0</v>
      </c>
      <c r="H12" s="10" t="s">
        <v>4</v>
      </c>
      <c r="I12" s="1"/>
    </row>
    <row r="13" spans="1:9" x14ac:dyDescent="0.25">
      <c r="A13" s="1"/>
      <c r="B13" s="69" t="s">
        <v>75</v>
      </c>
      <c r="C13" s="70"/>
      <c r="D13" s="70"/>
      <c r="E13" s="70"/>
      <c r="F13" s="71"/>
      <c r="G13" s="33">
        <v>0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9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8" t="s">
        <v>30</v>
      </c>
      <c r="C3" s="78"/>
      <c r="D3" s="78"/>
      <c r="E3" s="78"/>
      <c r="F3" s="78"/>
      <c r="G3" s="78"/>
      <c r="H3" s="1"/>
    </row>
    <row r="4" spans="1:8" ht="15" customHeight="1" x14ac:dyDescent="0.25">
      <c r="A4" s="1"/>
      <c r="B4" s="78"/>
      <c r="C4" s="78"/>
      <c r="D4" s="78"/>
      <c r="E4" s="78"/>
      <c r="F4" s="78"/>
      <c r="G4" s="7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69" t="s">
        <v>5</v>
      </c>
      <c r="C8" s="70"/>
      <c r="D8" s="70"/>
      <c r="E8" s="70"/>
      <c r="F8" s="70"/>
      <c r="G8" s="71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79</v>
      </c>
      <c r="F9" s="94" t="s">
        <v>3</v>
      </c>
      <c r="G9" s="94"/>
      <c r="H9" s="1"/>
    </row>
    <row r="10" spans="1:8" x14ac:dyDescent="0.25">
      <c r="A10" s="1"/>
      <c r="B10" s="41" t="s">
        <v>113</v>
      </c>
      <c r="C10" s="39">
        <v>2015</v>
      </c>
      <c r="D10" s="39">
        <v>10</v>
      </c>
      <c r="E10" s="37">
        <v>2349704</v>
      </c>
      <c r="F10" s="20">
        <f>E10/D10</f>
        <v>234970.4</v>
      </c>
      <c r="G10" s="10" t="s">
        <v>4</v>
      </c>
      <c r="H10" s="1"/>
    </row>
    <row r="11" spans="1:8" x14ac:dyDescent="0.25">
      <c r="A11" s="1"/>
      <c r="B11" s="41" t="s">
        <v>114</v>
      </c>
      <c r="C11" s="39">
        <v>2015</v>
      </c>
      <c r="D11" s="39">
        <v>5</v>
      </c>
      <c r="E11" s="37">
        <v>104636</v>
      </c>
      <c r="F11" s="20">
        <f t="shared" ref="F11:F26" si="0">E11/D11</f>
        <v>20927.2</v>
      </c>
      <c r="G11" s="10" t="s">
        <v>4</v>
      </c>
      <c r="H11" s="1"/>
    </row>
    <row r="12" spans="1:8" x14ac:dyDescent="0.25">
      <c r="A12" s="1"/>
      <c r="B12" s="41" t="s">
        <v>114</v>
      </c>
      <c r="C12" s="39">
        <v>2015</v>
      </c>
      <c r="D12" s="39">
        <v>5</v>
      </c>
      <c r="E12" s="37">
        <v>1288326</v>
      </c>
      <c r="F12" s="20">
        <f t="shared" si="0"/>
        <v>257665.2</v>
      </c>
      <c r="G12" s="10" t="s">
        <v>4</v>
      </c>
      <c r="H12" s="1"/>
    </row>
    <row r="13" spans="1:8" x14ac:dyDescent="0.25">
      <c r="A13" s="1"/>
      <c r="B13" s="41" t="s">
        <v>115</v>
      </c>
      <c r="C13" s="39">
        <v>2015</v>
      </c>
      <c r="D13" s="39">
        <v>5</v>
      </c>
      <c r="E13" s="37">
        <v>445492</v>
      </c>
      <c r="F13" s="20">
        <f t="shared" si="0"/>
        <v>89098.4</v>
      </c>
      <c r="G13" s="10" t="s">
        <v>4</v>
      </c>
      <c r="H13" s="1"/>
    </row>
    <row r="14" spans="1:8" x14ac:dyDescent="0.25">
      <c r="A14" s="1"/>
      <c r="B14" s="41" t="s">
        <v>116</v>
      </c>
      <c r="C14" s="39">
        <v>2015</v>
      </c>
      <c r="D14" s="39">
        <v>25</v>
      </c>
      <c r="E14" s="37">
        <v>779537</v>
      </c>
      <c r="F14" s="20">
        <f t="shared" si="0"/>
        <v>31181.48</v>
      </c>
      <c r="G14" s="10" t="s">
        <v>4</v>
      </c>
      <c r="H14" s="1"/>
    </row>
    <row r="15" spans="1:8" x14ac:dyDescent="0.25">
      <c r="A15" s="1"/>
      <c r="B15" s="41" t="s">
        <v>117</v>
      </c>
      <c r="C15" s="39">
        <v>2015</v>
      </c>
      <c r="D15" s="39">
        <v>75</v>
      </c>
      <c r="E15" s="37">
        <v>918140</v>
      </c>
      <c r="F15" s="20">
        <f t="shared" si="0"/>
        <v>12241.866666666667</v>
      </c>
      <c r="G15" s="10" t="s">
        <v>4</v>
      </c>
      <c r="H15" s="1"/>
    </row>
    <row r="16" spans="1:8" x14ac:dyDescent="0.25">
      <c r="A16" s="1"/>
      <c r="B16" s="41" t="s">
        <v>118</v>
      </c>
      <c r="C16" s="39">
        <v>2015</v>
      </c>
      <c r="D16" s="39">
        <v>5</v>
      </c>
      <c r="E16" s="37">
        <v>116431</v>
      </c>
      <c r="F16" s="20">
        <f t="shared" si="0"/>
        <v>23286.2</v>
      </c>
      <c r="G16" s="10" t="s">
        <v>4</v>
      </c>
      <c r="H16" s="1"/>
    </row>
    <row r="17" spans="1:8" x14ac:dyDescent="0.25">
      <c r="A17" s="1"/>
      <c r="B17" s="41" t="s">
        <v>119</v>
      </c>
      <c r="C17" s="39">
        <v>2015</v>
      </c>
      <c r="D17" s="39">
        <v>10</v>
      </c>
      <c r="E17" s="37">
        <v>376970</v>
      </c>
      <c r="F17" s="20">
        <f t="shared" si="0"/>
        <v>37697</v>
      </c>
      <c r="G17" s="10" t="s">
        <v>4</v>
      </c>
      <c r="H17" s="1"/>
    </row>
    <row r="18" spans="1:8" x14ac:dyDescent="0.25">
      <c r="A18" s="1"/>
      <c r="B18" s="41" t="s">
        <v>120</v>
      </c>
      <c r="C18" s="39">
        <v>2015</v>
      </c>
      <c r="D18" s="39">
        <v>10</v>
      </c>
      <c r="E18" s="37">
        <v>358763</v>
      </c>
      <c r="F18" s="20">
        <f t="shared" si="0"/>
        <v>35876.300000000003</v>
      </c>
      <c r="G18" s="10" t="s">
        <v>4</v>
      </c>
      <c r="H18" s="1"/>
    </row>
    <row r="19" spans="1:8" x14ac:dyDescent="0.25">
      <c r="A19" s="1"/>
      <c r="B19" s="41" t="s">
        <v>121</v>
      </c>
      <c r="C19" s="39">
        <v>2015</v>
      </c>
      <c r="D19" s="39">
        <v>15</v>
      </c>
      <c r="E19" s="37">
        <v>1636812</v>
      </c>
      <c r="F19" s="20">
        <f t="shared" si="0"/>
        <v>109120.8</v>
      </c>
      <c r="G19" s="10" t="s">
        <v>4</v>
      </c>
      <c r="H19" s="1"/>
    </row>
    <row r="20" spans="1:8" x14ac:dyDescent="0.25">
      <c r="A20" s="1"/>
      <c r="B20" s="41" t="s">
        <v>122</v>
      </c>
      <c r="C20" s="39">
        <v>2015</v>
      </c>
      <c r="D20" s="39">
        <v>75</v>
      </c>
      <c r="E20" s="37">
        <v>1552188</v>
      </c>
      <c r="F20" s="20">
        <f t="shared" si="0"/>
        <v>20695.84</v>
      </c>
      <c r="G20" s="10" t="s">
        <v>4</v>
      </c>
      <c r="H20" s="1"/>
    </row>
    <row r="21" spans="1:8" x14ac:dyDescent="0.25">
      <c r="A21" s="1"/>
      <c r="B21" s="41" t="s">
        <v>123</v>
      </c>
      <c r="C21" s="39">
        <v>2015</v>
      </c>
      <c r="D21" s="39">
        <v>25</v>
      </c>
      <c r="E21" s="37">
        <v>89670</v>
      </c>
      <c r="F21" s="20">
        <f t="shared" si="0"/>
        <v>3586.8</v>
      </c>
      <c r="G21" s="10" t="s">
        <v>4</v>
      </c>
      <c r="H21" s="1"/>
    </row>
    <row r="22" spans="1:8" x14ac:dyDescent="0.25">
      <c r="A22" s="1"/>
      <c r="B22" s="41" t="s">
        <v>124</v>
      </c>
      <c r="C22" s="39">
        <v>2015</v>
      </c>
      <c r="D22" s="39">
        <v>50</v>
      </c>
      <c r="E22" s="37">
        <v>52600</v>
      </c>
      <c r="F22" s="20">
        <f t="shared" si="0"/>
        <v>1052</v>
      </c>
      <c r="G22" s="10" t="s">
        <v>4</v>
      </c>
      <c r="H22" s="1"/>
    </row>
    <row r="23" spans="1:8" x14ac:dyDescent="0.25">
      <c r="A23" s="1"/>
      <c r="B23" s="41" t="s">
        <v>125</v>
      </c>
      <c r="C23" s="39">
        <v>2015</v>
      </c>
      <c r="D23" s="39">
        <v>75</v>
      </c>
      <c r="E23" s="37">
        <v>11505</v>
      </c>
      <c r="F23" s="20">
        <f t="shared" si="0"/>
        <v>153.4</v>
      </c>
      <c r="G23" s="10" t="s">
        <v>4</v>
      </c>
      <c r="H23" s="1"/>
    </row>
    <row r="24" spans="1:8" x14ac:dyDescent="0.25">
      <c r="A24" s="1"/>
      <c r="B24" s="41" t="s">
        <v>126</v>
      </c>
      <c r="C24" s="39">
        <v>2015</v>
      </c>
      <c r="D24" s="39">
        <v>75</v>
      </c>
      <c r="E24" s="37">
        <v>440317</v>
      </c>
      <c r="F24" s="20">
        <f t="shared" si="0"/>
        <v>5870.8933333333334</v>
      </c>
      <c r="G24" s="10" t="s">
        <v>4</v>
      </c>
      <c r="H24" s="1"/>
    </row>
    <row r="25" spans="1:8" x14ac:dyDescent="0.25">
      <c r="A25" s="1"/>
      <c r="B25" s="41" t="s">
        <v>127</v>
      </c>
      <c r="C25" s="39">
        <v>2015</v>
      </c>
      <c r="D25" s="39">
        <v>75</v>
      </c>
      <c r="E25" s="37">
        <v>12573633</v>
      </c>
      <c r="F25" s="20">
        <f t="shared" si="0"/>
        <v>167648.44</v>
      </c>
      <c r="G25" s="10" t="s">
        <v>4</v>
      </c>
      <c r="H25" s="1"/>
    </row>
    <row r="26" spans="1:8" x14ac:dyDescent="0.25">
      <c r="A26" s="1"/>
      <c r="B26" s="41" t="s">
        <v>128</v>
      </c>
      <c r="C26" s="39">
        <v>2015</v>
      </c>
      <c r="D26" s="39">
        <v>10</v>
      </c>
      <c r="E26" s="37">
        <v>222453</v>
      </c>
      <c r="F26" s="20">
        <f t="shared" si="0"/>
        <v>22245.3</v>
      </c>
      <c r="G26" s="10" t="s">
        <v>4</v>
      </c>
      <c r="H26" s="1"/>
    </row>
    <row r="27" spans="1:8" x14ac:dyDescent="0.25">
      <c r="A27" s="1"/>
      <c r="B27" s="69" t="s">
        <v>129</v>
      </c>
      <c r="C27" s="70"/>
      <c r="D27" s="70"/>
      <c r="E27" s="71"/>
      <c r="F27" s="33">
        <f>SUM(F10:F26)</f>
        <v>1073317.5200000003</v>
      </c>
      <c r="G27" s="18" t="s">
        <v>4</v>
      </c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  <row r="49" spans="1:8" x14ac:dyDescent="0.25">
      <c r="A49" s="6"/>
      <c r="B49" s="6"/>
      <c r="C49" s="6"/>
      <c r="D49" s="6"/>
      <c r="E49" s="6"/>
      <c r="F49" s="6"/>
      <c r="G49" s="6"/>
      <c r="H49" s="6"/>
    </row>
    <row r="50" spans="1:8" x14ac:dyDescent="0.25">
      <c r="A50" s="6"/>
      <c r="B50" s="6"/>
      <c r="C50" s="6"/>
      <c r="D50" s="6"/>
      <c r="E50" s="6"/>
      <c r="F50" s="6"/>
      <c r="G50" s="6"/>
      <c r="H50" s="6"/>
    </row>
    <row r="51" spans="1:8" x14ac:dyDescent="0.25">
      <c r="A51" s="6"/>
      <c r="B51" s="6"/>
      <c r="C51" s="6"/>
      <c r="D51" s="6"/>
      <c r="E51" s="6"/>
      <c r="F51" s="6"/>
      <c r="G51" s="6"/>
      <c r="H51" s="6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6"/>
      <c r="B53" s="6"/>
      <c r="C53" s="6"/>
      <c r="D53" s="6"/>
      <c r="E53" s="6"/>
      <c r="F53" s="6"/>
      <c r="G53" s="6"/>
      <c r="H53" s="6"/>
    </row>
    <row r="54" spans="1:8" x14ac:dyDescent="0.25">
      <c r="A54" s="6"/>
      <c r="B54" s="6"/>
      <c r="C54" s="6"/>
      <c r="D54" s="6"/>
      <c r="E54" s="6"/>
      <c r="F54" s="6"/>
      <c r="G54" s="6"/>
      <c r="H54" s="6"/>
    </row>
    <row r="55" spans="1:8" x14ac:dyDescent="0.25">
      <c r="A55" s="6"/>
      <c r="B55" s="6"/>
      <c r="C55" s="6"/>
      <c r="D55" s="6"/>
      <c r="E55" s="6"/>
      <c r="F55" s="6"/>
      <c r="G55" s="6"/>
      <c r="H55" s="6"/>
    </row>
    <row r="56" spans="1:8" x14ac:dyDescent="0.25">
      <c r="A56" s="6"/>
      <c r="B56" s="6"/>
      <c r="C56" s="6"/>
      <c r="D56" s="6"/>
      <c r="E56" s="6"/>
      <c r="F56" s="6"/>
      <c r="G56" s="6"/>
      <c r="H56" s="6"/>
    </row>
    <row r="57" spans="1:8" x14ac:dyDescent="0.25">
      <c r="A57" s="6"/>
      <c r="B57" s="6"/>
      <c r="C57" s="6"/>
      <c r="D57" s="6"/>
      <c r="E57" s="6"/>
      <c r="F57" s="6"/>
      <c r="G57" s="6"/>
      <c r="H57" s="6"/>
    </row>
    <row r="58" spans="1:8" x14ac:dyDescent="0.25">
      <c r="A58" s="6"/>
      <c r="B58" s="6"/>
      <c r="C58" s="6"/>
      <c r="D58" s="6"/>
      <c r="E58" s="6"/>
      <c r="F58" s="6"/>
      <c r="G58" s="6"/>
      <c r="H58" s="6"/>
    </row>
    <row r="59" spans="1:8" x14ac:dyDescent="0.25">
      <c r="A59" s="6"/>
      <c r="B59" s="6"/>
      <c r="C59" s="6"/>
      <c r="D59" s="6"/>
      <c r="E59" s="6"/>
      <c r="F59" s="6"/>
      <c r="G59" s="6"/>
      <c r="H59" s="6"/>
    </row>
  </sheetData>
  <sheetProtection password="C6BD" sheet="1" objects="1" scenarios="1"/>
  <mergeCells count="4">
    <mergeCell ref="B27:E27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8" t="s">
        <v>7</v>
      </c>
      <c r="C3" s="98"/>
      <c r="D3" s="98"/>
      <c r="E3" s="98"/>
      <c r="F3" s="98"/>
      <c r="G3" s="98"/>
      <c r="H3" s="98"/>
      <c r="I3" s="1"/>
    </row>
    <row r="4" spans="1:9" ht="15" customHeight="1" x14ac:dyDescent="0.25">
      <c r="A4" s="1"/>
      <c r="B4" s="98"/>
      <c r="C4" s="98"/>
      <c r="D4" s="98"/>
      <c r="E4" s="98"/>
      <c r="F4" s="98"/>
      <c r="G4" s="98"/>
      <c r="H4" s="9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95" t="s">
        <v>92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79" t="s">
        <v>80</v>
      </c>
      <c r="C9" s="80"/>
      <c r="D9" s="80"/>
      <c r="E9" s="80"/>
      <c r="F9" s="81"/>
      <c r="G9" s="37">
        <v>30927877</v>
      </c>
      <c r="H9" s="10" t="s">
        <v>4</v>
      </c>
      <c r="I9" s="1"/>
    </row>
    <row r="10" spans="1:9" x14ac:dyDescent="0.25">
      <c r="A10" s="1"/>
      <c r="B10" s="79" t="s">
        <v>81</v>
      </c>
      <c r="C10" s="80"/>
      <c r="D10" s="80"/>
      <c r="E10" s="80"/>
      <c r="F10" s="81"/>
      <c r="G10" s="37">
        <v>27433000</v>
      </c>
      <c r="H10" s="10" t="s">
        <v>4</v>
      </c>
      <c r="I10" s="1"/>
    </row>
    <row r="11" spans="1:9" x14ac:dyDescent="0.25">
      <c r="A11" s="1"/>
      <c r="B11" s="69" t="s">
        <v>82</v>
      </c>
      <c r="C11" s="70"/>
      <c r="D11" s="70"/>
      <c r="E11" s="70"/>
      <c r="F11" s="71"/>
      <c r="G11" s="33">
        <f>G9-G10</f>
        <v>3494877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95" t="s">
        <v>83</v>
      </c>
      <c r="C14" s="96"/>
      <c r="D14" s="96"/>
      <c r="E14" s="96"/>
      <c r="F14" s="96"/>
      <c r="G14" s="96"/>
      <c r="H14" s="97"/>
      <c r="I14" s="1"/>
    </row>
    <row r="15" spans="1:9" x14ac:dyDescent="0.25">
      <c r="A15" s="1"/>
      <c r="B15" s="79" t="s">
        <v>84</v>
      </c>
      <c r="C15" s="80"/>
      <c r="D15" s="80"/>
      <c r="E15" s="80"/>
      <c r="F15" s="81"/>
      <c r="G15" s="37">
        <v>1032701</v>
      </c>
      <c r="H15" s="10" t="s">
        <v>4</v>
      </c>
      <c r="I15" s="1"/>
    </row>
    <row r="16" spans="1:9" x14ac:dyDescent="0.25">
      <c r="A16" s="1"/>
      <c r="B16" s="79" t="s">
        <v>85</v>
      </c>
      <c r="C16" s="80"/>
      <c r="D16" s="80"/>
      <c r="E16" s="80"/>
      <c r="F16" s="81"/>
      <c r="G16" s="37">
        <v>1038000</v>
      </c>
      <c r="H16" s="10" t="s">
        <v>4</v>
      </c>
      <c r="I16" s="1"/>
    </row>
    <row r="17" spans="1:9" x14ac:dyDescent="0.25">
      <c r="A17" s="1"/>
      <c r="B17" s="69" t="s">
        <v>86</v>
      </c>
      <c r="C17" s="70"/>
      <c r="D17" s="70"/>
      <c r="E17" s="70"/>
      <c r="F17" s="71"/>
      <c r="G17" s="33">
        <f>G15-G16</f>
        <v>-5299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95" t="s">
        <v>93</v>
      </c>
      <c r="C20" s="96"/>
      <c r="D20" s="96"/>
      <c r="E20" s="96"/>
      <c r="F20" s="96"/>
      <c r="G20" s="96"/>
      <c r="H20" s="97"/>
      <c r="I20" s="1"/>
    </row>
    <row r="21" spans="1:9" x14ac:dyDescent="0.25">
      <c r="A21" s="1"/>
      <c r="B21" s="79" t="s">
        <v>94</v>
      </c>
      <c r="C21" s="80"/>
      <c r="D21" s="80"/>
      <c r="E21" s="80"/>
      <c r="F21" s="81"/>
      <c r="G21" s="37">
        <v>908310</v>
      </c>
      <c r="H21" s="10" t="s">
        <v>4</v>
      </c>
      <c r="I21" s="1"/>
    </row>
    <row r="22" spans="1:9" x14ac:dyDescent="0.25">
      <c r="A22" s="1"/>
      <c r="B22" s="79" t="s">
        <v>96</v>
      </c>
      <c r="C22" s="80"/>
      <c r="D22" s="80"/>
      <c r="E22" s="80"/>
      <c r="F22" s="81"/>
      <c r="G22" s="37">
        <v>750000</v>
      </c>
      <c r="H22" s="10" t="s">
        <v>4</v>
      </c>
      <c r="I22" s="1"/>
    </row>
    <row r="23" spans="1:9" x14ac:dyDescent="0.25">
      <c r="A23" s="1"/>
      <c r="B23" s="69" t="s">
        <v>95</v>
      </c>
      <c r="C23" s="70"/>
      <c r="D23" s="70"/>
      <c r="E23" s="70"/>
      <c r="F23" s="71"/>
      <c r="G23" s="33">
        <f>G21-G22</f>
        <v>158310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95" t="s">
        <v>87</v>
      </c>
      <c r="C26" s="96"/>
      <c r="D26" s="96"/>
      <c r="E26" s="96"/>
      <c r="F26" s="96"/>
      <c r="G26" s="96"/>
      <c r="H26" s="97"/>
      <c r="I26" s="1"/>
    </row>
    <row r="27" spans="1:9" x14ac:dyDescent="0.25">
      <c r="A27" s="1"/>
      <c r="B27" s="79" t="s">
        <v>88</v>
      </c>
      <c r="C27" s="80"/>
      <c r="D27" s="80"/>
      <c r="E27" s="80"/>
      <c r="F27" s="81"/>
      <c r="G27" s="37">
        <v>399533</v>
      </c>
      <c r="H27" s="10" t="s">
        <v>4</v>
      </c>
      <c r="I27" s="1"/>
    </row>
    <row r="28" spans="1:9" x14ac:dyDescent="0.25">
      <c r="A28" s="1"/>
      <c r="B28" s="79" t="s">
        <v>89</v>
      </c>
      <c r="C28" s="80"/>
      <c r="D28" s="80"/>
      <c r="E28" s="80"/>
      <c r="F28" s="81"/>
      <c r="G28" s="37">
        <v>638063</v>
      </c>
      <c r="H28" s="10" t="s">
        <v>4</v>
      </c>
      <c r="I28" s="1"/>
    </row>
    <row r="29" spans="1:9" x14ac:dyDescent="0.25">
      <c r="A29" s="1"/>
      <c r="B29" s="79" t="s">
        <v>90</v>
      </c>
      <c r="C29" s="80"/>
      <c r="D29" s="80"/>
      <c r="E29" s="80"/>
      <c r="F29" s="81"/>
      <c r="G29" s="20">
        <f>'Fane 7. Gen. inv. i 2015'!F27</f>
        <v>1073317.5200000003</v>
      </c>
      <c r="H29" s="10" t="s">
        <v>4</v>
      </c>
      <c r="I29" s="1"/>
    </row>
    <row r="30" spans="1:9" x14ac:dyDescent="0.25">
      <c r="A30" s="1"/>
      <c r="B30" s="69" t="s">
        <v>87</v>
      </c>
      <c r="C30" s="70"/>
      <c r="D30" s="70"/>
      <c r="E30" s="70"/>
      <c r="F30" s="71"/>
      <c r="G30" s="33">
        <f>G29-G27+G29-G28</f>
        <v>1109039.0400000005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Tobias Bedstrup Eiberg</cp:lastModifiedBy>
  <cp:lastPrinted>2016-06-14T12:57:30Z</cp:lastPrinted>
  <dcterms:created xsi:type="dcterms:W3CDTF">2016-06-02T08:51:18Z</dcterms:created>
  <dcterms:modified xsi:type="dcterms:W3CDTF">2016-12-15T14:57:11Z</dcterms:modified>
</cp:coreProperties>
</file>