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20" i="11" l="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21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9" i="2"/>
  <c r="E11" i="4" l="1"/>
  <c r="E15" i="4"/>
  <c r="E10" i="4"/>
  <c r="E9" i="2"/>
  <c r="G9" i="8"/>
  <c r="G11" i="8" s="1"/>
  <c r="E11" i="2" s="1"/>
  <c r="F22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<sst xmlns="http://schemas.openxmlformats.org/spreadsheetml/2006/main" count="250" uniqueCount="129">
  <si>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</si>
  <si>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</si>
  <si>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</si>
  <si>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</si>
  <si>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</si>
  <si>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</si>
  <si>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</si>
  <si>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</si>
  <si>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</si>
  <si>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</si>
  <si>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</si>
  <si>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</si>
  <si>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</si>
  <si>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</si>
  <si>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</si>
  <si>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</si>
  <si>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</si>
  <si>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</si>
  <si>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</si>
  <si>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</si>
  <si>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</si>
  <si>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</si>
  <si>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</si>
  <si>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</si>
  <si>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</si>
  <si>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</si>
  <si>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</si>
  <si>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</si>
  <si>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</si>
  <si>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</si>
  <si>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</si>
  <si>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</si>
  <si>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</si>
  <si>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</si>
  <si>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</si>
  <si>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</si>
  <si>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</si>
  <si>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</si>
  <si>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</si>
  <si>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</si>
  <si>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</si>
  <si>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</si>
  <si>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</si>
  <si>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</si>
  <si>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</si>
  <si>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</si>
  <si>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</si>
  <si>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</si>
  <si>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</si>
  <si>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</si>
  <si>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</si>
  <si>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</si>
  <si>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</si>
  <si>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</si>
  <si>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</si>
  <si>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</si>
  <si>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</si>
  <si>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</si>
  <si>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</si>
  <si>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</si>
  <si>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</si>
  <si>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</si>
  <si>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</si>
  <si>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</si>
  <si>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</si>
  <si>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</si>
  <si>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</si>
  <si>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</si>
  <si>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</si>
  <si>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</si>
  <si>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</si>
  <si>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</si>
  <si>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</si>
  <si>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</si>
  <si>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</si>
  <si>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</si>
  <si>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</si>
  <si>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</si>
  <si>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</si>
  <si>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</si>
  <si>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</si>
  <si>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</si>
  <si>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</si>
  <si>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</si>
  <si>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</si>
  <si>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</si>
  <si>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</si>
  <si>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</si>
  <si>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</si>
  <si>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</si>
  <si>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</si>
  <si>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</si>
  <si>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</si>
  <si>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</si>
  <si>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</si>
  <si>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</si>
  <si>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</si>
  <si>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</si>
  <si>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</si>
  <si>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</si>
  <si>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</si>
  <si>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</si>
  <si>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</si>
  <si>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</si>
  <si>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</si>
  <si>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</si>
  <si>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</si>
  <si>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</si>
  <si>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</si>
  <si>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</si>
  <si>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</si>
  <si>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</si>
  <si>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</si>
  <si>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Skyllevandsbehandling, inkl. UV-filter mv., Mek./EL</t>
  </si>
  <si>
    <t>Beluftningsanlæg, iltningstrappe, Mek./EL</t>
  </si>
  <si>
    <t>SRO anlæg</t>
  </si>
  <si>
    <t>Filteranlæg, åbne filtre, enkelt filtrering, Mek./EL</t>
  </si>
  <si>
    <t>Ø 50mm &lt; Ledningsnet ≤ Ø110 mm</t>
  </si>
  <si>
    <t xml:space="preserve">Afregningsmålere, mekaniske </t>
  </si>
  <si>
    <t>Ø110 mm &lt; Ledningsnet ≤ Ø 250 mm</t>
  </si>
  <si>
    <t>Pumpestation (inkl. evt. hydrofor)/trykforøger, Konstruktioner</t>
  </si>
  <si>
    <t>Afregningsmålere, elektroniske &gt; Ø110 mm</t>
  </si>
  <si>
    <t>SRO-brønd/kvarterbrønd/sektionsbrønd, Mek./EL</t>
  </si>
  <si>
    <t>Lager</t>
  </si>
  <si>
    <t>Værksted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</si>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</sst>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54474664</v>
      </c>
      <c r="H9" s="16" t="s">
        <v>4</v>
      </c>
      <c r="I9" s="1"/>
    </row>
    <row r="10" spans="1:9" x14ac:dyDescent="0.25">
      <c r="A10" s="1"/>
      <c r="B10" s="75" t="s">
        <v>48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79" t="s">
        <v>49</v>
      </c>
      <c r="C11" s="80"/>
      <c r="D11" s="81"/>
      <c r="E11" s="37">
        <v>13221421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4453416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296650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1333807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19305294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178947.63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81203.25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260150.88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-2959332.8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-7580432.1399999997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-57986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-10597750.939999999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8967693.9399999995</v>
      </c>
      <c r="F28" s="16" t="s">
        <v>4</v>
      </c>
      <c r="G28" s="31">
        <f>IF(E28&lt;0,0,-E28)</f>
        <v>-8967693.9399999995</v>
      </c>
      <c r="H28" s="16" t="s">
        <v>4</v>
      </c>
      <c r="I28" s="1"/>
    </row>
    <row r="29" spans="1:9" x14ac:dyDescent="0.25">
      <c r="A29" s="1"/>
      <c r="B29" s="75" t="s">
        <v>67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126</v>
      </c>
      <c r="C31" s="76"/>
      <c r="D31" s="76"/>
      <c r="E31" s="76"/>
      <c r="F31" s="76"/>
      <c r="G31" s="76"/>
      <c r="H31" s="77"/>
      <c r="I31" s="1"/>
    </row>
    <row r="32" spans="1:9" ht="30" customHeight="1" x14ac:dyDescent="0.25">
      <c r="A32" s="1"/>
      <c r="B32" s="72" t="s">
        <v>127</v>
      </c>
      <c r="C32" s="73"/>
      <c r="D32" s="74"/>
      <c r="E32" s="37">
        <v>48422589.310000002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783727.92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49206317.230000004</v>
      </c>
      <c r="F35" s="16" t="s">
        <v>4</v>
      </c>
      <c r="G35" s="32">
        <f>-E35</f>
        <v>-49206317.230000004</v>
      </c>
      <c r="H35" s="16" t="s">
        <v>4</v>
      </c>
      <c r="I35" s="1"/>
    </row>
    <row r="36" spans="1:9" x14ac:dyDescent="0.25">
      <c r="A36" s="1"/>
      <c r="B36" s="75" t="s">
        <v>46</v>
      </c>
      <c r="C36" s="76"/>
      <c r="D36" s="76"/>
      <c r="E36" s="76"/>
      <c r="F36" s="77"/>
      <c r="G36" s="33">
        <f>$G$9+$G$28+$G$30+$G$35</f>
        <v>-3699347.1700000018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45177044.248031899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10211312.795912284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580837.35290076444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453344.68247583415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44142862.212655298</v>
      </c>
      <c r="F13" s="17" t="s">
        <v>4</v>
      </c>
      <c r="G13" s="32">
        <f>E13</f>
        <v>44142862.212655298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x14ac:dyDescent="0.25">
      <c r="A15" s="1"/>
      <c r="B15" s="69" t="s">
        <v>108</v>
      </c>
      <c r="C15" s="70"/>
      <c r="D15" s="71"/>
      <c r="E15" s="32">
        <f>'Fane 6. Hist. over el. underdæk'!G13</f>
        <v>302561.75</v>
      </c>
      <c r="F15" s="17" t="s">
        <v>4</v>
      </c>
      <c r="G15" s="32">
        <f>E15</f>
        <v>302561.75</v>
      </c>
      <c r="H15" s="17" t="s">
        <v>4</v>
      </c>
      <c r="I15" s="1"/>
    </row>
    <row r="16" spans="1:9" x14ac:dyDescent="0.25">
      <c r="A16" s="1"/>
      <c r="B16" s="75" t="s">
        <v>28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79237.980000000447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-457073.4700000002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-3200.5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192196.35333333304</v>
      </c>
      <c r="F20" s="7" t="s">
        <v>4</v>
      </c>
      <c r="G20" s="14"/>
      <c r="H20" s="15"/>
      <c r="I20" s="1"/>
    </row>
    <row r="21" spans="1:9" x14ac:dyDescent="0.25">
      <c r="A21" s="1"/>
      <c r="B21" s="69" t="s">
        <v>38</v>
      </c>
      <c r="C21" s="70"/>
      <c r="D21" s="71"/>
      <c r="E21" s="32">
        <f>SUM(E17:E20)</f>
        <v>-188839.63666666672</v>
      </c>
      <c r="F21" s="17" t="s">
        <v>4</v>
      </c>
      <c r="G21" s="32">
        <f>E21</f>
        <v>-188839.63666666672</v>
      </c>
      <c r="H21" s="17" t="s">
        <v>4</v>
      </c>
      <c r="I21" s="1"/>
    </row>
    <row r="22" spans="1:9" x14ac:dyDescent="0.25">
      <c r="A22" s="1"/>
      <c r="B22" s="75" t="s">
        <v>33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69" t="s">
        <v>34</v>
      </c>
      <c r="C23" s="70"/>
      <c r="D23" s="71"/>
      <c r="E23" s="32">
        <f>'Fane 9. Kontrol af PL2015'!G36</f>
        <v>-3699347.1700000018</v>
      </c>
      <c r="F23" s="17" t="s">
        <v>4</v>
      </c>
      <c r="G23" s="32">
        <f>E23</f>
        <v>-3699347.1700000018</v>
      </c>
      <c r="H23" s="17" t="s">
        <v>4</v>
      </c>
      <c r="I23" s="1"/>
    </row>
    <row r="24" spans="1:9" x14ac:dyDescent="0.25">
      <c r="A24" s="1"/>
      <c r="B24" s="75" t="s">
        <v>39</v>
      </c>
      <c r="C24" s="76"/>
      <c r="D24" s="76"/>
      <c r="E24" s="76"/>
      <c r="F24" s="77"/>
      <c r="G24" s="33">
        <f>G13+G15+G21+G23</f>
        <v>40557237.155988634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44142862.212655298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11945708.920486633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21985840.496256385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10211312.795912284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560614.35010072228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570816.37215083092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452186.870004892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43680473.320600301</v>
      </c>
      <c r="F16" s="17" t="s">
        <v>4</v>
      </c>
      <c r="G16" s="32">
        <f>E16</f>
        <v>43680473.320600301</v>
      </c>
      <c r="H16" s="17" t="s">
        <v>4</v>
      </c>
      <c r="I16" s="1"/>
    </row>
    <row r="17" spans="1:9" x14ac:dyDescent="0.25">
      <c r="A17" s="1"/>
      <c r="B17" s="75" t="s">
        <v>32</v>
      </c>
      <c r="C17" s="76"/>
      <c r="D17" s="76"/>
      <c r="E17" s="76"/>
      <c r="F17" s="76"/>
      <c r="G17" s="76"/>
      <c r="H17" s="77"/>
      <c r="I17" s="1"/>
    </row>
    <row r="18" spans="1:9" ht="15" customHeight="1" x14ac:dyDescent="0.25">
      <c r="A18" s="1"/>
      <c r="B18" s="69" t="s">
        <v>108</v>
      </c>
      <c r="C18" s="70"/>
      <c r="D18" s="71"/>
      <c r="E18" s="35">
        <f>IF('Fane 6. Hist. over el. underdæk'!$G$12&gt;1,'Fane 6. Hist. over el. underdæk'!$G$13,0)</f>
        <v>302561.75</v>
      </c>
      <c r="F18" s="17" t="s">
        <v>4</v>
      </c>
      <c r="G18" s="32">
        <f>E18</f>
        <v>302561.75</v>
      </c>
      <c r="H18" s="17" t="s">
        <v>4</v>
      </c>
      <c r="I18" s="1"/>
    </row>
    <row r="19" spans="1:9" x14ac:dyDescent="0.25">
      <c r="A19" s="1"/>
      <c r="B19" s="75" t="s">
        <v>42</v>
      </c>
      <c r="C19" s="76"/>
      <c r="D19" s="76"/>
      <c r="E19" s="76"/>
      <c r="F19" s="77"/>
      <c r="G19" s="33">
        <f>G16+G18</f>
        <v>43983035.070600301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44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12399681.308398679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22566050.143720936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10211312.795912284</v>
      </c>
      <c r="H11" s="10" t="s">
        <v>4</v>
      </c>
      <c r="I11" s="1"/>
    </row>
    <row r="12" spans="1:9" x14ac:dyDescent="0.25">
      <c r="A12" s="1"/>
      <c r="B12" s="75" t="s">
        <v>44</v>
      </c>
      <c r="C12" s="76"/>
      <c r="D12" s="76"/>
      <c r="E12" s="76"/>
      <c r="F12" s="77"/>
      <c r="G12" s="33">
        <f>SUM(G9:G11)</f>
        <v>45177044.248031899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34965731.452119619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1.661161739734045</v>
      </c>
      <c r="H10" s="10" t="s">
        <v>72</v>
      </c>
      <c r="I10" s="1"/>
    </row>
    <row r="11" spans="1:9" x14ac:dyDescent="0.25">
      <c r="A11" s="1"/>
      <c r="B11" s="75" t="s">
        <v>25</v>
      </c>
      <c r="C11" s="76"/>
      <c r="D11" s="76"/>
      <c r="E11" s="76"/>
      <c r="F11" s="77"/>
      <c r="G11" s="33">
        <f>$G$9*$G$10/100</f>
        <v>580837.35290076444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12399681.308398679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247993.62616797359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22566050.143720936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205351.05630786053</v>
      </c>
      <c r="H14" s="16" t="s">
        <v>4</v>
      </c>
      <c r="I14" s="1"/>
    </row>
    <row r="15" spans="1:9" x14ac:dyDescent="0.25">
      <c r="A15" s="1"/>
      <c r="B15" s="75" t="s">
        <v>104</v>
      </c>
      <c r="C15" s="76"/>
      <c r="D15" s="76"/>
      <c r="E15" s="76"/>
      <c r="F15" s="77"/>
      <c r="G15" s="33">
        <f>G11+G14</f>
        <v>453344.68247583415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1437552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227305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1210247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4</v>
      </c>
      <c r="H12" s="10" t="s">
        <v>4</v>
      </c>
      <c r="I12" s="1"/>
    </row>
    <row r="13" spans="1:9" x14ac:dyDescent="0.25">
      <c r="A13" s="1"/>
      <c r="B13" s="75" t="s">
        <v>75</v>
      </c>
      <c r="C13" s="76"/>
      <c r="D13" s="76"/>
      <c r="E13" s="76"/>
      <c r="F13" s="77"/>
      <c r="G13" s="33">
        <f>G11/G12</f>
        <v>302561.75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5" t="s">
        <v>5</v>
      </c>
      <c r="C8" s="76"/>
      <c r="D8" s="76"/>
      <c r="E8" s="76"/>
      <c r="F8" s="76"/>
      <c r="G8" s="77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25</v>
      </c>
      <c r="E10" s="37">
        <v>129618</v>
      </c>
      <c r="F10" s="20">
        <f>E10/D10</f>
        <v>5184.72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25</v>
      </c>
      <c r="E11" s="37">
        <v>170481</v>
      </c>
      <c r="F11" s="20">
        <f t="shared" ref="F11:F21" si="0">E11/D11</f>
        <v>6819.24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10</v>
      </c>
      <c r="E12" s="37">
        <v>499832</v>
      </c>
      <c r="F12" s="20">
        <f t="shared" si="0"/>
        <v>49983.199999999997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25</v>
      </c>
      <c r="E13" s="37">
        <v>160066</v>
      </c>
      <c r="F13" s="20">
        <f t="shared" si="0"/>
        <v>6402.64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754875</v>
      </c>
      <c r="F14" s="20">
        <f t="shared" si="0"/>
        <v>10065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8</v>
      </c>
      <c r="E15" s="37">
        <v>2228702</v>
      </c>
      <c r="F15" s="20">
        <f t="shared" si="0"/>
        <v>278587.75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75</v>
      </c>
      <c r="E16" s="37">
        <v>8614134</v>
      </c>
      <c r="F16" s="20">
        <f t="shared" si="0"/>
        <v>114855.12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50</v>
      </c>
      <c r="E17" s="37">
        <v>268647</v>
      </c>
      <c r="F17" s="20">
        <f t="shared" si="0"/>
        <v>5372.94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10</v>
      </c>
      <c r="E18" s="37">
        <v>244491</v>
      </c>
      <c r="F18" s="20">
        <f t="shared" si="0"/>
        <v>24449.1</v>
      </c>
      <c r="G18" s="10" t="s">
        <v>4</v>
      </c>
      <c r="H18" s="1"/>
    </row>
    <row r="19" spans="1:8" x14ac:dyDescent="0.25">
      <c r="A19" s="1"/>
      <c r="B19" s="41" t="s">
        <v>122</v>
      </c>
      <c r="C19" s="39">
        <v>2015</v>
      </c>
      <c r="D19" s="39">
        <v>15</v>
      </c>
      <c r="E19" s="37">
        <v>406097</v>
      </c>
      <c r="F19" s="20">
        <f t="shared" si="0"/>
        <v>27073.133333333335</v>
      </c>
      <c r="G19" s="10" t="s">
        <v>4</v>
      </c>
      <c r="H19" s="1"/>
    </row>
    <row r="20" spans="1:8" x14ac:dyDescent="0.25">
      <c r="A20" s="1"/>
      <c r="B20" s="41" t="s">
        <v>123</v>
      </c>
      <c r="C20" s="39">
        <v>2015</v>
      </c>
      <c r="D20" s="39">
        <v>75</v>
      </c>
      <c r="E20" s="37">
        <v>147575</v>
      </c>
      <c r="F20" s="20">
        <f t="shared" si="0"/>
        <v>1967.6666666666667</v>
      </c>
      <c r="G20" s="10" t="s">
        <v>4</v>
      </c>
      <c r="H20" s="1"/>
    </row>
    <row r="21" spans="1:8" x14ac:dyDescent="0.25">
      <c r="A21" s="1"/>
      <c r="B21" s="41" t="s">
        <v>124</v>
      </c>
      <c r="C21" s="39">
        <v>2015</v>
      </c>
      <c r="D21" s="39">
        <v>75</v>
      </c>
      <c r="E21" s="37">
        <v>24800</v>
      </c>
      <c r="F21" s="20">
        <f t="shared" si="0"/>
        <v>330.66666666666669</v>
      </c>
      <c r="G21" s="10" t="s">
        <v>4</v>
      </c>
      <c r="H21" s="1"/>
    </row>
    <row r="22" spans="1:8" x14ac:dyDescent="0.25">
      <c r="A22" s="1"/>
      <c r="B22" s="75" t="s">
        <v>125</v>
      </c>
      <c r="C22" s="76"/>
      <c r="D22" s="76"/>
      <c r="E22" s="77"/>
      <c r="F22" s="33">
        <f>SUM(F10:F21)</f>
        <v>531091.17666666652</v>
      </c>
      <c r="G22" s="18" t="s">
        <v>4</v>
      </c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</sheetData>
  <sheetProtection password="C6BD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10250237.98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10171000</v>
      </c>
      <c r="H10" s="10" t="s">
        <v>4</v>
      </c>
      <c r="I10" s="1"/>
    </row>
    <row r="11" spans="1:9" x14ac:dyDescent="0.25">
      <c r="A11" s="1"/>
      <c r="B11" s="75" t="s">
        <v>82</v>
      </c>
      <c r="C11" s="76"/>
      <c r="D11" s="76"/>
      <c r="E11" s="76"/>
      <c r="F11" s="77"/>
      <c r="G11" s="33">
        <f>G9-G10</f>
        <v>79237.980000000447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2437926.5299999998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2895000</v>
      </c>
      <c r="H16" s="10" t="s">
        <v>4</v>
      </c>
      <c r="I16" s="1"/>
    </row>
    <row r="17" spans="1:9" x14ac:dyDescent="0.25">
      <c r="A17" s="1"/>
      <c r="B17" s="75" t="s">
        <v>86</v>
      </c>
      <c r="C17" s="76"/>
      <c r="D17" s="76"/>
      <c r="E17" s="76"/>
      <c r="F17" s="77"/>
      <c r="G17" s="33">
        <f>G15-G16</f>
        <v>-457073.4700000002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51799.5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55000</v>
      </c>
      <c r="H22" s="10" t="s">
        <v>4</v>
      </c>
      <c r="I22" s="1"/>
    </row>
    <row r="23" spans="1:9" x14ac:dyDescent="0.25">
      <c r="A23" s="1"/>
      <c r="B23" s="75" t="s">
        <v>95</v>
      </c>
      <c r="C23" s="76"/>
      <c r="D23" s="76"/>
      <c r="E23" s="76"/>
      <c r="F23" s="77"/>
      <c r="G23" s="33">
        <f>G21-G22</f>
        <v>-3200.5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408173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461813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2015'!F22</f>
        <v>531091.17666666652</v>
      </c>
      <c r="H29" s="10" t="s">
        <v>4</v>
      </c>
      <c r="I29" s="1"/>
    </row>
    <row r="30" spans="1:9" x14ac:dyDescent="0.25">
      <c r="A30" s="1"/>
      <c r="B30" s="75" t="s">
        <v>87</v>
      </c>
      <c r="C30" s="76"/>
      <c r="D30" s="76"/>
      <c r="E30" s="76"/>
      <c r="F30" s="77"/>
      <c r="G30" s="33">
        <f>G29-G27+G29-G28</f>
        <v>192196.35333333304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2016-12-13T11:31:21Z</dcterms:modified>
</cp:coreProperties>
</file>