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F3" i="16" s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D5" i="16"/>
  <c r="E5" i="16"/>
  <c r="D6" i="16"/>
  <c r="J3" i="24"/>
  <c r="M3" i="24" s="1"/>
  <c r="E6" i="16"/>
  <c r="G3" i="16" l="1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<sst xmlns="http://schemas.openxmlformats.org/spreadsheetml/2006/main" count="112" uniqueCount="75">
  <si>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</si>
  <si>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</si>
  <si>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</si>
  <si>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</si>
  <si>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</si>
  <si>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</si>
  <si>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</si>
  <si>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</si>
  <si>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</si>
  <si>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</si>
  <si>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</si>
  <si>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</si>
  <si>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</si>
  <si>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</si>
  <si>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</si>
  <si>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</si>
  <si>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</si>
  <si>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</si>
  <si>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</si>
  <si>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</si>
  <si>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</si>
  <si>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</si>
  <si>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</si>
  <si>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</si>
  <si>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</si>
  <si>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</si>
  <si>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</si>
  <si>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</si>
  <si>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</si>
  <si>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</si>
  <si>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</si>
  <si>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</si>
  <si>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</si>
  <si>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</si>
  <si>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</si>
  <si>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</si>
  <si>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</si>
  <si>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</si>
  <si>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</si>
  <si>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</si>
  <si>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</si>
  <si>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</si>
  <si>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</si>
  <si>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</si>
  <si>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</si>
  <si>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</si>
  <si>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</si>
  <si>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</si>
  <si>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</si>
  <si>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</si>
  <si>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</si>
  <si>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</si>
  <si>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</si>
  <si>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</si>
  <si>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</si>
  <si>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</si>
  <si>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</si>
  <si>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Afværgeboringer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</si>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</sst>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12140251.904312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37703.31972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112930.36079999999</v>
      </c>
      <c r="C4" t="s">
        <v>11</v>
      </c>
    </row>
    <row r="5" spans="1:3" s="26" customFormat="1" x14ac:dyDescent="0.25">
      <c r="A5" s="3" t="s">
        <v>12</v>
      </c>
      <c r="B5" s="48">
        <f>SUM(B2:B4)</f>
        <v>12290885.584832</v>
      </c>
      <c r="C5" s="62" t="s">
        <v>11</v>
      </c>
    </row>
    <row r="6" spans="1:3" x14ac:dyDescent="0.25">
      <c r="A6" s="47" t="s">
        <v>0</v>
      </c>
      <c r="B6" s="38">
        <f>Investeringer!E3</f>
        <v>13696736.586129993</v>
      </c>
      <c r="C6" s="23" t="s">
        <v>11</v>
      </c>
    </row>
    <row r="7" spans="1:3" x14ac:dyDescent="0.25">
      <c r="A7" s="4" t="s">
        <v>1</v>
      </c>
      <c r="B7" s="35">
        <f>Investeringer!F3</f>
        <v>5983478.0855533239</v>
      </c>
      <c r="C7" t="s">
        <v>11</v>
      </c>
    </row>
    <row r="8" spans="1:3" x14ac:dyDescent="0.25">
      <c r="A8" s="4" t="s">
        <v>2</v>
      </c>
      <c r="B8" s="35">
        <f>Investeringer!G3</f>
        <v>133333.33333333334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2554505.9408693332</v>
      </c>
      <c r="C9" t="s">
        <v>11</v>
      </c>
    </row>
    <row r="10" spans="1:3" s="22" customFormat="1" x14ac:dyDescent="0.25">
      <c r="A10" s="3" t="s">
        <v>47</v>
      </c>
      <c r="B10" s="48">
        <f>SUM(B6:B9)</f>
        <v>22368053.945885986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10121717.98</v>
      </c>
      <c r="C11" t="s">
        <v>11</v>
      </c>
    </row>
    <row r="12" spans="1:3" s="22" customFormat="1" x14ac:dyDescent="0.25">
      <c r="A12" s="3" t="s">
        <v>69</v>
      </c>
      <c r="B12" s="48">
        <f>SUM(B11:B11)</f>
        <v>10121717.98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44780657.510717988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45177044.248031907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52</v>
      </c>
      <c r="F1" s="52" t="s">
        <v>61</v>
      </c>
      <c r="G1" s="52" t="s">
        <v>70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12755247.27</v>
      </c>
      <c r="C2" s="49">
        <v>0</v>
      </c>
      <c r="D2" s="49">
        <f>B2+C2</f>
        <v>12755247.27</v>
      </c>
      <c r="E2" s="50">
        <f>D2</f>
        <v>12755247.27</v>
      </c>
      <c r="F2" s="49">
        <v>15122231.297338832</v>
      </c>
      <c r="G2" s="49">
        <v>0</v>
      </c>
      <c r="H2" s="49">
        <f>F2-G2</f>
        <v>15122231.297338832</v>
      </c>
      <c r="I2" s="49">
        <f>AVERAGEIF(E2:E4,"&lt;&gt;0")</f>
        <v>12140251.904312</v>
      </c>
      <c r="J2" s="49">
        <v>8683056.5385908335</v>
      </c>
      <c r="K2" s="39">
        <f>IF(H2&gt;I2,IF(I2&gt;J2,I2,J2),H2)</f>
        <v>12140251.904312</v>
      </c>
    </row>
    <row r="3" spans="1:11" s="23" customFormat="1" x14ac:dyDescent="0.25">
      <c r="A3" s="28">
        <v>2014</v>
      </c>
      <c r="B3" s="49">
        <v>11936254</v>
      </c>
      <c r="C3" s="49"/>
      <c r="D3" s="49">
        <f t="shared" ref="D3:D4" si="0">B3+C3</f>
        <v>11936254</v>
      </c>
      <c r="E3" s="50">
        <f>D3*Pristalsregulering!C7</f>
        <v>11945803.003199998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11537278</v>
      </c>
      <c r="C4" s="49"/>
      <c r="D4" s="49">
        <f t="shared" si="0"/>
        <v>11537278</v>
      </c>
      <c r="E4" s="50">
        <f>D4*Pristalsregulering!$C$6*Pristalsregulering!$C$7</f>
        <v>11719705.439735997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98" max="98" width="9.140625" hidden="1"/>
    <col min="114" max="114" width="9.140625" hidden="1"/>
    <col min="193" max="193" width="9.140625" hidden="1"/>
    <col min="209" max="209" width="9.140625" hidden="1"/>
    <col min="225" max="225" width="9.140625" hidden="1"/>
    <col min="288" max="288" width="9.140625" hidden="1"/>
    <col min="304" max="304" width="9.140625" hidden="1"/>
    <col min="320" max="320" width="9.140625" hidden="1"/>
    <col min="336" max="336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57</v>
      </c>
      <c r="C2" s="34" t="s">
        <v>22</v>
      </c>
      <c r="D2" s="56" t="s">
        <v>57</v>
      </c>
      <c r="E2" s="34" t="s">
        <v>22</v>
      </c>
      <c r="F2" s="56" t="s">
        <v>57</v>
      </c>
      <c r="G2" s="34" t="s">
        <v>22</v>
      </c>
      <c r="H2" s="53" t="s">
        <v>23</v>
      </c>
    </row>
    <row r="3" spans="1:8" s="22" customFormat="1" x14ac:dyDescent="0.25">
      <c r="A3" s="28">
        <v>2016</v>
      </c>
      <c r="B3" s="72"/>
      <c r="C3" s="72"/>
      <c r="D3" s="45">
        <f>B3</f>
        <v>0</v>
      </c>
      <c r="E3" s="35">
        <f>C3</f>
        <v>0</v>
      </c>
      <c r="F3" s="45">
        <f>IF(D4=0,0,AVERAGEIF(D4:D6,"&lt;&gt;0"))+D3</f>
        <v>0</v>
      </c>
      <c r="G3" s="38">
        <f>IF(E4=0,0,AVERAGEIF(E4:E6,"&lt;&gt;0"))+E3</f>
        <v>37703.31972</v>
      </c>
      <c r="H3" s="57">
        <f>SUM(F3:G3)</f>
        <v>37703.31972</v>
      </c>
    </row>
    <row r="4" spans="1:8" x14ac:dyDescent="0.25">
      <c r="A4" s="28">
        <v>2015</v>
      </c>
      <c r="B4" s="35"/>
      <c r="C4" s="35">
        <v>51799.5</v>
      </c>
      <c r="D4" s="45">
        <f>B4</f>
        <v>0</v>
      </c>
      <c r="E4" s="35">
        <f>C4</f>
        <v>51799.5</v>
      </c>
      <c r="F4" s="45"/>
      <c r="G4" s="38"/>
      <c r="H4" s="54"/>
    </row>
    <row r="5" spans="1:8" x14ac:dyDescent="0.25">
      <c r="A5" s="28">
        <v>2014</v>
      </c>
      <c r="B5" s="35"/>
      <c r="C5" s="35">
        <v>23473</v>
      </c>
      <c r="D5" s="45">
        <f>B5*Pristalsregulering!$C$7</f>
        <v>0</v>
      </c>
      <c r="E5" s="35">
        <f>C5*Pristalsregulering!$C$7</f>
        <v>23491.778399999999</v>
      </c>
      <c r="F5" s="45"/>
      <c r="G5" s="35"/>
      <c r="H5" s="45"/>
    </row>
    <row r="6" spans="1:8" x14ac:dyDescent="0.25">
      <c r="A6" s="28">
        <v>2013</v>
      </c>
      <c r="B6" s="35">
        <v>82761</v>
      </c>
      <c r="C6" s="35">
        <v>37230</v>
      </c>
      <c r="D6" s="45">
        <f>B6*Pristalsregulering!$C$7*Pristalsregulering!$C$6</f>
        <v>84069.61693199999</v>
      </c>
      <c r="E6" s="35">
        <f>C6*Pristalsregulering!$C$7*Pristalsregulering!$C$6</f>
        <v>37818.680759999996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24</v>
      </c>
      <c r="C1" s="74"/>
      <c r="D1" s="74"/>
      <c r="E1" s="75" t="s">
        <v>53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25000</v>
      </c>
      <c r="C3" s="42">
        <v>103520</v>
      </c>
      <c r="D3" s="42">
        <v>0</v>
      </c>
      <c r="E3" s="41">
        <f>B3</f>
        <v>25000</v>
      </c>
      <c r="F3" s="42">
        <f t="shared" ref="F3:G3" si="0">C3</f>
        <v>103520</v>
      </c>
      <c r="G3" s="43">
        <f t="shared" si="0"/>
        <v>0</v>
      </c>
      <c r="H3" s="44">
        <f>IF(E3=0,0,AVERAGEIF(E3:E5,"&lt;&gt;0"))+IF(F3=0,0,AVERAGEIF(F3:F5,"&lt;&gt;0"))+IF(G3=0,0,AVERAGEIF(G3:G5,"&lt;&gt;0"))</f>
        <v>112930.36079999999</v>
      </c>
    </row>
    <row r="4" spans="1:8" x14ac:dyDescent="0.25">
      <c r="A4" s="31">
        <v>2014</v>
      </c>
      <c r="B4" s="41">
        <v>30000</v>
      </c>
      <c r="C4" s="42">
        <v>78400</v>
      </c>
      <c r="D4" s="42">
        <v>0</v>
      </c>
      <c r="E4" s="41">
        <f>B4*Pristalsregulering!$C$7</f>
        <v>30023.999999999996</v>
      </c>
      <c r="F4" s="42">
        <f>C4*Pristalsregulering!$C$7</f>
        <v>78462.719999999987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25000</v>
      </c>
      <c r="C5" s="42">
        <v>75200</v>
      </c>
      <c r="D5" s="42">
        <v>0</v>
      </c>
      <c r="E5" s="41">
        <f>B5*Pristalsregulering!$C$7*Pristalsregulering!$C$6</f>
        <v>25395.299999999996</v>
      </c>
      <c r="F5" s="42">
        <f>C5*Pristalsregulering!$C$7*Pristalsregulering!$C$6</f>
        <v>76389.062399999981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12580829.986582642</v>
      </c>
      <c r="C3" s="38">
        <v>5751932.9216666669</v>
      </c>
      <c r="D3" s="40">
        <v>133333.33333333334</v>
      </c>
      <c r="E3" s="35">
        <f>B3*Pristalsregulering!C2*Pristalsregulering!C3*Pristalsregulering!C4*Pristalsregulering!C5*Pristalsregulering!C6*Pristalsregulering!C7</f>
        <v>13696736.586129993</v>
      </c>
      <c r="F3" s="35">
        <v>5983478.0855533239</v>
      </c>
      <c r="G3" s="35">
        <f>D3</f>
        <v>133333.33333333334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40</v>
      </c>
      <c r="C1" s="74"/>
      <c r="D1" s="74"/>
      <c r="E1" s="74"/>
      <c r="F1" s="75" t="s">
        <v>54</v>
      </c>
      <c r="G1" s="76"/>
      <c r="H1" s="76"/>
      <c r="I1" s="76"/>
      <c r="J1" s="79" t="s">
        <v>29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2407922.79</v>
      </c>
      <c r="D3" s="38">
        <v>34472.230000000003</v>
      </c>
      <c r="E3" s="40">
        <v>0</v>
      </c>
      <c r="F3" s="38">
        <f>B3</f>
        <v>0</v>
      </c>
      <c r="G3" s="38">
        <f>C3</f>
        <v>2407922.79</v>
      </c>
      <c r="H3" s="38">
        <f>D3</f>
        <v>34472.230000000003</v>
      </c>
      <c r="I3" s="40">
        <f>E3</f>
        <v>0</v>
      </c>
      <c r="J3" s="42">
        <f>AVERAGE(F3:F5)</f>
        <v>0</v>
      </c>
      <c r="K3" s="42">
        <f>G3</f>
        <v>2407922.79</v>
      </c>
      <c r="L3" s="43">
        <f>AVERAGE(H3:H5)+AVERAGE(I3:I5)</f>
        <v>146583.15086933333</v>
      </c>
      <c r="M3" s="44">
        <f>SUM(J3:L3)</f>
        <v>2554505.9408693332</v>
      </c>
      <c r="N3" s="23"/>
    </row>
    <row r="4" spans="1:14" x14ac:dyDescent="0.25">
      <c r="A4" s="28">
        <v>2014</v>
      </c>
      <c r="B4" s="45">
        <v>0</v>
      </c>
      <c r="C4" s="38">
        <v>2588241</v>
      </c>
      <c r="D4" s="38">
        <v>100000</v>
      </c>
      <c r="E4" s="40">
        <v>34472</v>
      </c>
      <c r="F4" s="38">
        <f>IF(B4="","",B4*Pristalsregulering!$C$7)</f>
        <v>0</v>
      </c>
      <c r="G4" s="38">
        <f>IF(C4="","",C4*Pristalsregulering!$C$7)</f>
        <v>2590311.5927999998</v>
      </c>
      <c r="H4" s="38">
        <f>IF(D4="","",D4*Pristalsregulering!$C$7)</f>
        <v>100079.99999999999</v>
      </c>
      <c r="I4" s="40">
        <f>IF(E4="","",E4*Pristalsregulering!$C$7)</f>
        <v>34499.577599999997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2569772</v>
      </c>
      <c r="D5" s="38">
        <v>266484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2610405.2348639993</v>
      </c>
      <c r="H5" s="38">
        <f>IF(D5="","",D5*Pristalsregulering!$C$7*Pristalsregulering!$C$6)</f>
        <v>270697.64500799996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55</v>
      </c>
      <c r="L1" s="67" t="s">
        <v>39</v>
      </c>
      <c r="M1" s="14" t="s">
        <v>28</v>
      </c>
    </row>
    <row r="2" spans="1:13" ht="15.75" thickTop="1" x14ac:dyDescent="0.25">
      <c r="A2" s="31">
        <v>2015</v>
      </c>
      <c r="B2" s="42">
        <v>32522.76</v>
      </c>
      <c r="C2" s="42">
        <v>0</v>
      </c>
      <c r="D2" s="42">
        <v>37386.22</v>
      </c>
      <c r="E2" s="42">
        <v>0</v>
      </c>
      <c r="F2" s="42">
        <v>0</v>
      </c>
      <c r="G2" s="42">
        <v>10051809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10121717.98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56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2016-11-11T16:17:21Z</dcterms:modified>
</cp:coreProperties>
</file>