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280" yWindow="30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66" i="11" l="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67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F68" i="11"/>
  <c r="G29" i="12" s="1"/>
  <c r="G30" i="12" s="1"/>
  <c r="E20" i="2" s="1"/>
  <c r="E21" i="2" s="1"/>
  <c r="G21" i="2" s="1"/>
  <c r="E28" i="13"/>
  <c r="G28" i="13" s="1"/>
  <c r="G15" i="9"/>
  <c r="E12" i="2" s="1"/>
  <c r="E13" i="2" l="1"/>
  <c r="G13" i="2" s="1"/>
  <c r="G24" i="2" s="1"/>
  <c r="E9" i="4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<sst xmlns="http://schemas.openxmlformats.org/spreadsheetml/2006/main" count="342" uniqueCount="136">
  <si>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</si>
  <si>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</si>
  <si>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</si>
  <si>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</si>
  <si>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</si>
  <si>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</si>
  <si>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</si>
  <si>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</si>
  <si>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</si>
  <si>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</si>
  <si>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</si>
  <si>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</si>
  <si>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</si>
  <si>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</si>
  <si>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</si>
  <si>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</si>
  <si>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</si>
  <si>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</si>
  <si>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</si>
  <si>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</si>
  <si>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</si>
  <si>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</si>
  <si>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</si>
  <si>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</si>
  <si>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</si>
  <si>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</si>
  <si>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</si>
  <si>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</si>
  <si>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</si>
  <si>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</si>
  <si>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</si>
  <si>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</si>
  <si>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</si>
  <si>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</si>
  <si>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</si>
  <si>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</si>
  <si>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</si>
  <si>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</si>
  <si>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</si>
  <si>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</si>
  <si>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</si>
  <si>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</si>
  <si>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</si>
  <si>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</si>
  <si>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</si>
  <si>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</si>
  <si>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</si>
  <si>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</si>
  <si>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</si>
  <si>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</si>
  <si>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</si>
  <si>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</si>
  <si>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</si>
  <si>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</si>
  <si>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</si>
  <si>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</si>
  <si>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</si>
  <si>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</si>
  <si>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</si>
  <si>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</si>
  <si>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</si>
  <si>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</si>
  <si>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</si>
  <si>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</si>
  <si>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</si>
  <si>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</si>
  <si>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</si>
  <si>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</si>
  <si>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</si>
  <si>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</si>
  <si>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</si>
  <si>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</si>
  <si>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</si>
  <si>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</si>
  <si>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</si>
  <si>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</si>
  <si>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</si>
  <si>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</si>
  <si>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</si>
  <si>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</si>
  <si>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</si>
  <si>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</si>
  <si>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</si>
  <si>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</si>
  <si>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</si>
  <si>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</si>
  <si>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</si>
  <si>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</si>
  <si>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</si>
  <si>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</si>
  <si>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</si>
  <si>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</si>
  <si>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</si>
  <si>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</si>
  <si>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</si>
  <si>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</si>
  <si>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</si>
  <si>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</si>
  <si>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</si>
  <si>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</si>
  <si>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</si>
  <si>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</si>
  <si>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</si>
  <si>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</si>
  <si>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</si>
  <si>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</si>
  <si>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</si>
  <si>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</si>
  <si>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</si>
  <si>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</si>
  <si>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</si>
  <si>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</si>
  <si>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</si>
  <si>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 50mm &lt; Ledningsnet ≤ Ø110 mm</t>
  </si>
  <si>
    <t>Ledningsnet ≤ Ø50 mm</t>
  </si>
  <si>
    <t>Ø110 mm &lt; Ledningsnet ≤ Ø 250 mm</t>
  </si>
  <si>
    <t>Stik på ledningsnet, Konstruktioner</t>
  </si>
  <si>
    <t>Ø 250 mm &lt; Ledningsnet ≤ Ø 500mm</t>
  </si>
  <si>
    <t>Afregningsmålere, elektroniske &gt; Ø110 mm</t>
  </si>
  <si>
    <t>Stik på ledningsnet, Mek./EL</t>
  </si>
  <si>
    <t xml:space="preserve">Afregningsmålere, mekaniske </t>
  </si>
  <si>
    <t>Eternitledninger Ø110 mm &lt; Ledningsnet ≤ Ø 250 mm</t>
  </si>
  <si>
    <t>Skyllevandsbehandling, inkl. UV-filter mv., Mek./EL</t>
  </si>
  <si>
    <t>Elanlæg - vandværk</t>
  </si>
  <si>
    <t>Arbejdsplads</t>
  </si>
  <si>
    <t>Filteranlæg, åbne filtre, dobbelt filtrering, Mek./EL</t>
  </si>
  <si>
    <t>Køretøjer, entreprenørmaskiner</t>
  </si>
  <si>
    <t>Køretøjer, personbil</t>
  </si>
  <si>
    <t>SRO-brønd/kvarterbrønd/sektionsbrønd, Mek./EL</t>
  </si>
  <si>
    <t>Laboratorium (bygning, inkl. inventar+udstyr), Mek./EL</t>
  </si>
  <si>
    <t>Pumpestation (inkl. evt. hydrofor)/trykforøger, Mek./EL</t>
  </si>
  <si>
    <t>Pumpestation (inkl. evt. hydrofor)/trykforøger,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</si>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</sst>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45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80" t="s">
        <v>47</v>
      </c>
      <c r="C9" s="81"/>
      <c r="D9" s="81"/>
      <c r="E9" s="81"/>
      <c r="F9" s="82"/>
      <c r="G9" s="35">
        <v>61661260</v>
      </c>
      <c r="H9" s="16" t="s">
        <v>4</v>
      </c>
      <c r="I9" s="1"/>
    </row>
    <row r="10" spans="1:9" x14ac:dyDescent="0.25">
      <c r="A10" s="1"/>
      <c r="B10" s="83" t="s">
        <v>48</v>
      </c>
      <c r="C10" s="84"/>
      <c r="D10" s="84"/>
      <c r="E10" s="84"/>
      <c r="F10" s="84"/>
      <c r="G10" s="84"/>
      <c r="H10" s="85"/>
      <c r="I10" s="1"/>
    </row>
    <row r="11" spans="1:9" x14ac:dyDescent="0.25">
      <c r="A11" s="1"/>
      <c r="B11" s="73" t="s">
        <v>49</v>
      </c>
      <c r="C11" s="74"/>
      <c r="D11" s="75"/>
      <c r="E11" s="37">
        <v>5085052</v>
      </c>
      <c r="F11" s="10" t="s">
        <v>4</v>
      </c>
      <c r="G11" s="19"/>
      <c r="H11" s="25"/>
      <c r="I11" s="1"/>
    </row>
    <row r="12" spans="1:9" x14ac:dyDescent="0.25">
      <c r="A12" s="1"/>
      <c r="B12" s="73" t="s">
        <v>50</v>
      </c>
      <c r="C12" s="74"/>
      <c r="D12" s="75"/>
      <c r="E12" s="37">
        <v>2804018</v>
      </c>
      <c r="F12" s="10" t="s">
        <v>4</v>
      </c>
      <c r="G12" s="13"/>
      <c r="H12" s="26"/>
      <c r="I12" s="1"/>
    </row>
    <row r="13" spans="1:9" x14ac:dyDescent="0.25">
      <c r="A13" s="1"/>
      <c r="B13" s="73" t="s">
        <v>51</v>
      </c>
      <c r="C13" s="74"/>
      <c r="D13" s="75"/>
      <c r="E13" s="37">
        <v>-231525</v>
      </c>
      <c r="F13" s="10" t="s">
        <v>4</v>
      </c>
      <c r="G13" s="13"/>
      <c r="H13" s="26"/>
      <c r="I13" s="1"/>
    </row>
    <row r="14" spans="1:9" x14ac:dyDescent="0.25">
      <c r="A14" s="1"/>
      <c r="B14" s="73" t="s">
        <v>52</v>
      </c>
      <c r="C14" s="74"/>
      <c r="D14" s="75"/>
      <c r="E14" s="37">
        <v>1871863</v>
      </c>
      <c r="F14" s="10" t="s">
        <v>4</v>
      </c>
      <c r="G14" s="13"/>
      <c r="H14" s="26"/>
      <c r="I14" s="1"/>
    </row>
    <row r="15" spans="1:9" x14ac:dyDescent="0.25">
      <c r="A15" s="1"/>
      <c r="B15" s="80" t="s">
        <v>53</v>
      </c>
      <c r="C15" s="81"/>
      <c r="D15" s="82"/>
      <c r="E15" s="32">
        <f>SUM(E11:E14)</f>
        <v>9529408</v>
      </c>
      <c r="F15" s="16" t="s">
        <v>4</v>
      </c>
      <c r="G15" s="13"/>
      <c r="H15" s="26"/>
      <c r="I15" s="1"/>
    </row>
    <row r="16" spans="1:9" x14ac:dyDescent="0.25">
      <c r="A16" s="1"/>
      <c r="B16" s="73" t="s">
        <v>54</v>
      </c>
      <c r="C16" s="74"/>
      <c r="D16" s="75"/>
      <c r="E16" s="37">
        <v>548963</v>
      </c>
      <c r="F16" s="10" t="s">
        <v>4</v>
      </c>
      <c r="G16" s="13"/>
      <c r="H16" s="26"/>
      <c r="I16" s="1"/>
    </row>
    <row r="17" spans="1:9" x14ac:dyDescent="0.25">
      <c r="A17" s="1"/>
      <c r="B17" s="73" t="s">
        <v>55</v>
      </c>
      <c r="C17" s="74"/>
      <c r="D17" s="75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3" t="s">
        <v>56</v>
      </c>
      <c r="C18" s="74"/>
      <c r="D18" s="75"/>
      <c r="E18" s="37">
        <v>432830</v>
      </c>
      <c r="F18" s="10" t="s">
        <v>4</v>
      </c>
      <c r="G18" s="13"/>
      <c r="H18" s="26"/>
      <c r="I18" s="1"/>
    </row>
    <row r="19" spans="1:9" x14ac:dyDescent="0.25">
      <c r="A19" s="1"/>
      <c r="B19" s="80" t="s">
        <v>57</v>
      </c>
      <c r="C19" s="81"/>
      <c r="D19" s="82"/>
      <c r="E19" s="32">
        <f>SUM(E16:E18)</f>
        <v>981793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0" t="s">
        <v>58</v>
      </c>
      <c r="C20" s="71"/>
      <c r="D20" s="72"/>
      <c r="E20" s="37">
        <v>-1732621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0" t="s">
        <v>59</v>
      </c>
      <c r="C21" s="71"/>
      <c r="D21" s="72"/>
      <c r="E21" s="37">
        <v>-15894157</v>
      </c>
      <c r="F21" s="10" t="s">
        <v>4</v>
      </c>
      <c r="G21" s="13"/>
      <c r="H21" s="26"/>
      <c r="I21" s="1"/>
    </row>
    <row r="22" spans="1:9" x14ac:dyDescent="0.25">
      <c r="A22" s="1"/>
      <c r="B22" s="73" t="s">
        <v>60</v>
      </c>
      <c r="C22" s="74"/>
      <c r="D22" s="75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3" t="s">
        <v>61</v>
      </c>
      <c r="C23" s="74"/>
      <c r="D23" s="75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0" t="s">
        <v>62</v>
      </c>
      <c r="C24" s="71"/>
      <c r="D24" s="72"/>
      <c r="E24" s="37">
        <v>-5811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0" t="s">
        <v>63</v>
      </c>
      <c r="C25" s="71"/>
      <c r="D25" s="72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0" t="s">
        <v>64</v>
      </c>
      <c r="C26" s="71"/>
      <c r="D26" s="72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0" t="s">
        <v>65</v>
      </c>
      <c r="C27" s="81"/>
      <c r="D27" s="82"/>
      <c r="E27" s="32">
        <f>SUM(E20:E26)</f>
        <v>-17632589</v>
      </c>
      <c r="F27" s="16" t="s">
        <v>4</v>
      </c>
      <c r="G27" s="14"/>
      <c r="H27" s="27"/>
      <c r="I27" s="1"/>
    </row>
    <row r="28" spans="1:9" x14ac:dyDescent="0.25">
      <c r="A28" s="1"/>
      <c r="B28" s="80" t="s">
        <v>66</v>
      </c>
      <c r="C28" s="81"/>
      <c r="D28" s="82"/>
      <c r="E28" s="32">
        <f>E15+E19+E27</f>
        <v>-7121388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83" t="s">
        <v>67</v>
      </c>
      <c r="C29" s="84"/>
      <c r="D29" s="84"/>
      <c r="E29" s="84"/>
      <c r="F29" s="84"/>
      <c r="G29" s="84"/>
      <c r="H29" s="85"/>
      <c r="I29" s="1"/>
    </row>
    <row r="30" spans="1:9" x14ac:dyDescent="0.25">
      <c r="A30" s="1"/>
      <c r="B30" s="80" t="s">
        <v>67</v>
      </c>
      <c r="C30" s="81"/>
      <c r="D30" s="82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133</v>
      </c>
      <c r="C31" s="84"/>
      <c r="D31" s="84"/>
      <c r="E31" s="84"/>
      <c r="F31" s="84"/>
      <c r="G31" s="84"/>
      <c r="H31" s="85"/>
      <c r="I31" s="1"/>
    </row>
    <row r="32" spans="1:9" ht="30" customHeight="1" x14ac:dyDescent="0.25">
      <c r="A32" s="1"/>
      <c r="B32" s="70" t="s">
        <v>134</v>
      </c>
      <c r="C32" s="71"/>
      <c r="D32" s="72"/>
      <c r="E32" s="37">
        <v>57159984.950000003</v>
      </c>
      <c r="F32" s="10" t="s">
        <v>4</v>
      </c>
      <c r="G32" s="19"/>
      <c r="H32" s="25"/>
      <c r="I32" s="1"/>
    </row>
    <row r="33" spans="1:9" x14ac:dyDescent="0.25">
      <c r="A33" s="1"/>
      <c r="B33" s="73" t="s">
        <v>68</v>
      </c>
      <c r="C33" s="74"/>
      <c r="D33" s="75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0" t="s">
        <v>69</v>
      </c>
      <c r="C34" s="71"/>
      <c r="D34" s="72"/>
      <c r="E34" s="37">
        <v>400329.31</v>
      </c>
      <c r="F34" s="10" t="s">
        <v>4</v>
      </c>
      <c r="G34" s="14"/>
      <c r="H34" s="27"/>
      <c r="I34" s="1"/>
    </row>
    <row r="35" spans="1:9" x14ac:dyDescent="0.25">
      <c r="A35" s="1"/>
      <c r="B35" s="80" t="s">
        <v>70</v>
      </c>
      <c r="C35" s="81"/>
      <c r="D35" s="82"/>
      <c r="E35" s="32">
        <f>SUM(E32:E34)</f>
        <v>57560314.260000005</v>
      </c>
      <c r="F35" s="16" t="s">
        <v>4</v>
      </c>
      <c r="G35" s="32">
        <f>-E35</f>
        <v>-57560314.260000005</v>
      </c>
      <c r="H35" s="16" t="s">
        <v>4</v>
      </c>
      <c r="I35" s="1"/>
    </row>
    <row r="36" spans="1:9" x14ac:dyDescent="0.25">
      <c r="A36" s="1"/>
      <c r="B36" s="83" t="s">
        <v>46</v>
      </c>
      <c r="C36" s="84"/>
      <c r="D36" s="84"/>
      <c r="E36" s="84"/>
      <c r="F36" s="85"/>
      <c r="G36" s="33">
        <f>$G$9+$G$28+$G$30+$G$35</f>
        <v>4100945.7399999946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>
      <selection activeCell="E11" sqref="E11"/>
    </sheetView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135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109</v>
      </c>
      <c r="C8" s="84"/>
      <c r="D8" s="84"/>
      <c r="E8" s="84"/>
      <c r="F8" s="84"/>
      <c r="G8" s="84"/>
      <c r="H8" s="85"/>
      <c r="I8" s="1"/>
    </row>
    <row r="9" spans="1:9" ht="30" customHeight="1" x14ac:dyDescent="0.25">
      <c r="A9" s="1"/>
      <c r="B9" s="70" t="s">
        <v>31</v>
      </c>
      <c r="C9" s="71"/>
      <c r="D9" s="72"/>
      <c r="E9" s="34">
        <f>'Fane 3. Grundlag'!G12</f>
        <v>52108729.277669355</v>
      </c>
      <c r="F9" s="7" t="s">
        <v>4</v>
      </c>
      <c r="G9" s="8"/>
      <c r="H9" s="9"/>
      <c r="I9" s="1"/>
    </row>
    <row r="10" spans="1:9" x14ac:dyDescent="0.25">
      <c r="A10" s="1"/>
      <c r="B10" s="79" t="s">
        <v>97</v>
      </c>
      <c r="C10" s="74"/>
      <c r="D10" s="75"/>
      <c r="E10" s="20">
        <f>'Fane 3. Grundlag'!G11</f>
        <v>24855030.884644736</v>
      </c>
      <c r="F10" s="7" t="s">
        <v>4</v>
      </c>
      <c r="G10" s="11"/>
      <c r="H10" s="12"/>
      <c r="I10" s="1"/>
    </row>
    <row r="11" spans="1:9" x14ac:dyDescent="0.25">
      <c r="A11" s="1"/>
      <c r="B11" s="73" t="s">
        <v>25</v>
      </c>
      <c r="C11" s="74"/>
      <c r="D11" s="75"/>
      <c r="E11" s="20">
        <f>'Fane 4. Individuelt eff.krav'!G11</f>
        <v>194243.41034327279</v>
      </c>
      <c r="F11" s="7" t="s">
        <v>4</v>
      </c>
      <c r="G11" s="13"/>
      <c r="H11" s="12"/>
      <c r="I11" s="1"/>
    </row>
    <row r="12" spans="1:9" x14ac:dyDescent="0.25">
      <c r="A12" s="1"/>
      <c r="B12" s="73" t="s">
        <v>26</v>
      </c>
      <c r="C12" s="74"/>
      <c r="D12" s="75"/>
      <c r="E12" s="20">
        <f>'Fane 5. Generelt eff.krav'!G15</f>
        <v>410555.86204374547</v>
      </c>
      <c r="F12" s="7" t="s">
        <v>4</v>
      </c>
      <c r="G12" s="14"/>
      <c r="H12" s="15"/>
      <c r="I12" s="1"/>
    </row>
    <row r="13" spans="1:9" x14ac:dyDescent="0.25">
      <c r="A13" s="1"/>
      <c r="B13" s="80" t="s">
        <v>43</v>
      </c>
      <c r="C13" s="81"/>
      <c r="D13" s="82"/>
      <c r="E13" s="32">
        <f>$E$9-$E$11-$E$12</f>
        <v>51503930.005282335</v>
      </c>
      <c r="F13" s="17" t="s">
        <v>4</v>
      </c>
      <c r="G13" s="32">
        <f>E13</f>
        <v>51503930.005282335</v>
      </c>
      <c r="H13" s="17" t="s">
        <v>4</v>
      </c>
      <c r="I13" s="1"/>
    </row>
    <row r="14" spans="1:9" x14ac:dyDescent="0.25">
      <c r="A14" s="1"/>
      <c r="B14" s="83" t="s">
        <v>32</v>
      </c>
      <c r="C14" s="84"/>
      <c r="D14" s="84"/>
      <c r="E14" s="84"/>
      <c r="F14" s="84"/>
      <c r="G14" s="84"/>
      <c r="H14" s="85"/>
      <c r="I14" s="1"/>
    </row>
    <row r="15" spans="1:9" x14ac:dyDescent="0.25">
      <c r="A15" s="1"/>
      <c r="B15" s="76" t="s">
        <v>108</v>
      </c>
      <c r="C15" s="77"/>
      <c r="D15" s="78"/>
      <c r="E15" s="32">
        <f>'Fane 6. Hist. over el. underdæk'!G13</f>
        <v>-188237.25</v>
      </c>
      <c r="F15" s="17" t="s">
        <v>4</v>
      </c>
      <c r="G15" s="32">
        <f>E15</f>
        <v>-188237.25</v>
      </c>
      <c r="H15" s="17" t="s">
        <v>4</v>
      </c>
      <c r="I15" s="1"/>
    </row>
    <row r="16" spans="1:9" x14ac:dyDescent="0.25">
      <c r="A16" s="1"/>
      <c r="B16" s="83" t="s">
        <v>28</v>
      </c>
      <c r="C16" s="84"/>
      <c r="D16" s="84"/>
      <c r="E16" s="84"/>
      <c r="F16" s="84"/>
      <c r="G16" s="84"/>
      <c r="H16" s="85"/>
      <c r="I16" s="1"/>
    </row>
    <row r="17" spans="1:9" x14ac:dyDescent="0.25">
      <c r="A17" s="1"/>
      <c r="B17" s="70" t="s">
        <v>35</v>
      </c>
      <c r="C17" s="71"/>
      <c r="D17" s="72"/>
      <c r="E17" s="20">
        <f>'Fane 8. Korrektion af PL2015'!G11</f>
        <v>-3938141</v>
      </c>
      <c r="F17" s="7" t="s">
        <v>4</v>
      </c>
      <c r="G17" s="19"/>
      <c r="H17" s="9"/>
      <c r="I17" s="1"/>
    </row>
    <row r="18" spans="1:9" x14ac:dyDescent="0.25">
      <c r="A18" s="1"/>
      <c r="B18" s="70" t="s">
        <v>36</v>
      </c>
      <c r="C18" s="71"/>
      <c r="D18" s="72"/>
      <c r="E18" s="20">
        <f>'Fane 8. Korrektion af PL2015'!G17</f>
        <v>-1293158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0" t="s">
        <v>98</v>
      </c>
      <c r="C19" s="71"/>
      <c r="D19" s="72"/>
      <c r="E19" s="20">
        <f>'Fane 8. Korrektion af PL2015'!G23</f>
        <v>-403786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0" t="s">
        <v>37</v>
      </c>
      <c r="C20" s="71"/>
      <c r="D20" s="72"/>
      <c r="E20" s="20">
        <f>'Fane 8. Korrektion af PL2015'!G30</f>
        <v>-199143.32433333341</v>
      </c>
      <c r="F20" s="7" t="s">
        <v>4</v>
      </c>
      <c r="G20" s="14"/>
      <c r="H20" s="15"/>
      <c r="I20" s="1"/>
    </row>
    <row r="21" spans="1:9" x14ac:dyDescent="0.25">
      <c r="A21" s="1"/>
      <c r="B21" s="76" t="s">
        <v>38</v>
      </c>
      <c r="C21" s="77"/>
      <c r="D21" s="78"/>
      <c r="E21" s="32">
        <f>SUM(E17:E20)</f>
        <v>-5834228.3243333334</v>
      </c>
      <c r="F21" s="17" t="s">
        <v>4</v>
      </c>
      <c r="G21" s="32">
        <f>E21</f>
        <v>-5834228.3243333334</v>
      </c>
      <c r="H21" s="17" t="s">
        <v>4</v>
      </c>
      <c r="I21" s="1"/>
    </row>
    <row r="22" spans="1:9" x14ac:dyDescent="0.25">
      <c r="A22" s="1"/>
      <c r="B22" s="83" t="s">
        <v>33</v>
      </c>
      <c r="C22" s="84"/>
      <c r="D22" s="84"/>
      <c r="E22" s="84"/>
      <c r="F22" s="84"/>
      <c r="G22" s="84"/>
      <c r="H22" s="85"/>
      <c r="I22" s="1"/>
    </row>
    <row r="23" spans="1:9" x14ac:dyDescent="0.25">
      <c r="A23" s="1"/>
      <c r="B23" s="76" t="s">
        <v>34</v>
      </c>
      <c r="C23" s="77"/>
      <c r="D23" s="78"/>
      <c r="E23" s="32">
        <f>'Fane 9. Kontrol af PL2015'!G36</f>
        <v>4100945.7399999946</v>
      </c>
      <c r="F23" s="17" t="s">
        <v>4</v>
      </c>
      <c r="G23" s="32">
        <f>E23</f>
        <v>4100945.7399999946</v>
      </c>
      <c r="H23" s="17" t="s">
        <v>4</v>
      </c>
      <c r="I23" s="1"/>
    </row>
    <row r="24" spans="1:9" x14ac:dyDescent="0.25">
      <c r="A24" s="1"/>
      <c r="B24" s="83" t="s">
        <v>39</v>
      </c>
      <c r="C24" s="84"/>
      <c r="D24" s="84"/>
      <c r="E24" s="84"/>
      <c r="F24" s="85"/>
      <c r="G24" s="33">
        <f>G13+G15+G21+G23</f>
        <v>49582410.170948997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10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109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0" t="s">
        <v>40</v>
      </c>
      <c r="C9" s="71"/>
      <c r="D9" s="72"/>
      <c r="E9" s="36">
        <f>'Fane 2.1. Økonomisk ramme 2017'!$E$9-'Fane 2.1. Økonomisk ramme 2017'!$E$11-'Fane 2.1. Økonomisk ramme 2017'!$E$12</f>
        <v>51503930.005282335</v>
      </c>
      <c r="F9" s="7" t="s">
        <v>4</v>
      </c>
      <c r="G9" s="8"/>
      <c r="H9" s="9"/>
      <c r="I9" s="1"/>
    </row>
    <row r="10" spans="1:9" x14ac:dyDescent="0.25">
      <c r="A10" s="1"/>
      <c r="B10" s="79" t="s">
        <v>110</v>
      </c>
      <c r="C10" s="86"/>
      <c r="D10" s="87"/>
      <c r="E10" s="37">
        <f>'Fane 3. Grundlag'!$G$9*(1-'Fane 4. Individuelt eff.krav'!$G$10/100)-'Fane 5. Generelt eff.krav'!G$11</f>
        <v>14508050.551011827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111</v>
      </c>
      <c r="C11" s="86"/>
      <c r="D11" s="87"/>
      <c r="E11" s="37">
        <f>'Fane 3. Grundlag'!$G$10*(1-'Fane 4. Individuelt eff.krav'!$G$10/100)-'Fane 5. Generelt eff.krav'!G$14</f>
        <v>12140848.569625771</v>
      </c>
      <c r="F11" s="7" t="s">
        <v>4</v>
      </c>
      <c r="G11" s="11"/>
      <c r="H11" s="12"/>
      <c r="I11" s="1"/>
    </row>
    <row r="12" spans="1:9" x14ac:dyDescent="0.25">
      <c r="A12" s="1"/>
      <c r="B12" s="79" t="s">
        <v>97</v>
      </c>
      <c r="C12" s="86"/>
      <c r="D12" s="87"/>
      <c r="E12" s="37">
        <f>'Fane 2.1. Økonomisk ramme 2017'!$E$10</f>
        <v>24855030.884644736</v>
      </c>
      <c r="F12" s="7" t="s">
        <v>4</v>
      </c>
      <c r="G12" s="11"/>
      <c r="H12" s="12"/>
      <c r="I12" s="1"/>
    </row>
    <row r="13" spans="1:9" x14ac:dyDescent="0.25">
      <c r="A13" s="1"/>
      <c r="B13" s="73" t="s">
        <v>41</v>
      </c>
      <c r="C13" s="74"/>
      <c r="D13" s="75"/>
      <c r="E13" s="37">
        <f>$E$9*0.0127</f>
        <v>654099.91106708557</v>
      </c>
      <c r="F13" s="7" t="s">
        <v>4</v>
      </c>
      <c r="G13" s="13"/>
      <c r="H13" s="12"/>
      <c r="I13" s="1"/>
    </row>
    <row r="14" spans="1:9" x14ac:dyDescent="0.25">
      <c r="A14" s="1"/>
      <c r="B14" s="73" t="s">
        <v>25</v>
      </c>
      <c r="C14" s="74"/>
      <c r="D14" s="75"/>
      <c r="E14" s="37">
        <f>('Fane 2.2. Økonomisk ramme 2018'!$E$9-'Fane 2.2. Økonomisk ramme 2018'!$E$12)*1.0127*'Fane 4. Individuelt eff.krav'!$G$10/100</f>
        <v>192345.01347993815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408694.18408228864</v>
      </c>
      <c r="F15" s="7" t="s">
        <v>4</v>
      </c>
      <c r="G15" s="14"/>
      <c r="H15" s="15"/>
      <c r="I15" s="1"/>
    </row>
    <row r="16" spans="1:9" x14ac:dyDescent="0.25">
      <c r="A16" s="1"/>
      <c r="B16" s="80" t="s">
        <v>43</v>
      </c>
      <c r="C16" s="81"/>
      <c r="D16" s="82"/>
      <c r="E16" s="32">
        <f>$E$9+$E$13-$E$14-$E$15</f>
        <v>51556990.718787186</v>
      </c>
      <c r="F16" s="17" t="s">
        <v>4</v>
      </c>
      <c r="G16" s="32">
        <f>E16</f>
        <v>51556990.718787186</v>
      </c>
      <c r="H16" s="17" t="s">
        <v>4</v>
      </c>
      <c r="I16" s="1"/>
    </row>
    <row r="17" spans="1:9" x14ac:dyDescent="0.25">
      <c r="A17" s="1"/>
      <c r="B17" s="83" t="s">
        <v>32</v>
      </c>
      <c r="C17" s="84"/>
      <c r="D17" s="84"/>
      <c r="E17" s="84"/>
      <c r="F17" s="84"/>
      <c r="G17" s="84"/>
      <c r="H17" s="85"/>
      <c r="I17" s="1"/>
    </row>
    <row r="18" spans="1:9" ht="15" customHeight="1" x14ac:dyDescent="0.25">
      <c r="A18" s="1"/>
      <c r="B18" s="76" t="s">
        <v>108</v>
      </c>
      <c r="C18" s="77"/>
      <c r="D18" s="78"/>
      <c r="E18" s="35">
        <f>IF('Fane 6. Hist. over el. underdæk'!$G$12&gt;1,'Fane 6. Hist. over el. underdæk'!$G$13,0)</f>
        <v>-188237.25</v>
      </c>
      <c r="F18" s="17" t="s">
        <v>4</v>
      </c>
      <c r="G18" s="32">
        <f>E18</f>
        <v>-188237.25</v>
      </c>
      <c r="H18" s="17" t="s">
        <v>4</v>
      </c>
      <c r="I18" s="1"/>
    </row>
    <row r="19" spans="1:9" x14ac:dyDescent="0.25">
      <c r="A19" s="1"/>
      <c r="B19" s="83" t="s">
        <v>42</v>
      </c>
      <c r="C19" s="84"/>
      <c r="D19" s="84"/>
      <c r="E19" s="84"/>
      <c r="F19" s="85"/>
      <c r="G19" s="33">
        <f>G16+G18</f>
        <v>51368753.468787186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9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44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99</v>
      </c>
      <c r="C9" s="74"/>
      <c r="D9" s="74"/>
      <c r="E9" s="74"/>
      <c r="F9" s="75"/>
      <c r="G9" s="37">
        <v>14912587.767634993</v>
      </c>
      <c r="H9" s="10" t="s">
        <v>4</v>
      </c>
      <c r="I9" s="1"/>
    </row>
    <row r="10" spans="1:9" x14ac:dyDescent="0.25">
      <c r="A10" s="1"/>
      <c r="B10" s="73" t="s">
        <v>100</v>
      </c>
      <c r="C10" s="74"/>
      <c r="D10" s="74"/>
      <c r="E10" s="74"/>
      <c r="F10" s="75"/>
      <c r="G10" s="37">
        <v>12341110.625389623</v>
      </c>
      <c r="H10" s="10" t="s">
        <v>4</v>
      </c>
      <c r="I10" s="1"/>
    </row>
    <row r="11" spans="1:9" x14ac:dyDescent="0.25">
      <c r="A11" s="1"/>
      <c r="B11" s="73" t="s">
        <v>101</v>
      </c>
      <c r="C11" s="74"/>
      <c r="D11" s="74"/>
      <c r="E11" s="74"/>
      <c r="F11" s="75"/>
      <c r="G11" s="37">
        <v>24855030.884644736</v>
      </c>
      <c r="H11" s="10" t="s">
        <v>4</v>
      </c>
      <c r="I11" s="1"/>
    </row>
    <row r="12" spans="1:9" x14ac:dyDescent="0.25">
      <c r="A12" s="1"/>
      <c r="B12" s="83" t="s">
        <v>44</v>
      </c>
      <c r="C12" s="84"/>
      <c r="D12" s="84"/>
      <c r="E12" s="84"/>
      <c r="F12" s="85"/>
      <c r="G12" s="33">
        <f>SUM(G9:G11)</f>
        <v>52108729.277669355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>
      <selection activeCell="G10" sqref="G10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27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25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103</v>
      </c>
      <c r="C9" s="74"/>
      <c r="D9" s="74"/>
      <c r="E9" s="74"/>
      <c r="F9" s="75"/>
      <c r="G9" s="20">
        <f>'Fane 3. Grundlag'!G12-'Fane 3. Grundlag'!G11</f>
        <v>27253698.39302462</v>
      </c>
      <c r="H9" s="10" t="s">
        <v>4</v>
      </c>
      <c r="I9" s="1"/>
    </row>
    <row r="10" spans="1:9" x14ac:dyDescent="0.25">
      <c r="A10" s="1"/>
      <c r="B10" s="73" t="s">
        <v>71</v>
      </c>
      <c r="C10" s="74"/>
      <c r="D10" s="74"/>
      <c r="E10" s="74"/>
      <c r="F10" s="75"/>
      <c r="G10" s="44">
        <v>0.71272312308625219</v>
      </c>
      <c r="H10" s="10" t="s">
        <v>72</v>
      </c>
      <c r="I10" s="1"/>
    </row>
    <row r="11" spans="1:9" x14ac:dyDescent="0.25">
      <c r="A11" s="1"/>
      <c r="B11" s="83" t="s">
        <v>25</v>
      </c>
      <c r="C11" s="84"/>
      <c r="D11" s="84"/>
      <c r="E11" s="84"/>
      <c r="F11" s="85"/>
      <c r="G11" s="33">
        <f>$G$9*$G$10/100</f>
        <v>194243.41034327279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8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105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14912587.767634993</v>
      </c>
      <c r="H9" s="10" t="s">
        <v>4</v>
      </c>
      <c r="I9" s="1"/>
    </row>
    <row r="10" spans="1:9" x14ac:dyDescent="0.25">
      <c r="A10" s="1"/>
      <c r="B10" s="73" t="s">
        <v>26</v>
      </c>
      <c r="C10" s="74"/>
      <c r="D10" s="74"/>
      <c r="E10" s="74"/>
      <c r="F10" s="75"/>
      <c r="G10" s="42">
        <f>2</f>
        <v>2</v>
      </c>
      <c r="H10" s="10" t="s">
        <v>72</v>
      </c>
      <c r="I10" s="1"/>
    </row>
    <row r="11" spans="1:9" x14ac:dyDescent="0.25">
      <c r="A11" s="1"/>
      <c r="B11" s="80" t="s">
        <v>73</v>
      </c>
      <c r="C11" s="81"/>
      <c r="D11" s="81"/>
      <c r="E11" s="81"/>
      <c r="F11" s="82"/>
      <c r="G11" s="32">
        <f>$G$9*$G$10/100</f>
        <v>298251.7553526999</v>
      </c>
      <c r="H11" s="16" t="s">
        <v>4</v>
      </c>
      <c r="I11" s="1"/>
    </row>
    <row r="12" spans="1:9" x14ac:dyDescent="0.25">
      <c r="A12" s="1"/>
      <c r="B12" s="73" t="s">
        <v>100</v>
      </c>
      <c r="C12" s="74"/>
      <c r="D12" s="74"/>
      <c r="E12" s="74"/>
      <c r="F12" s="75"/>
      <c r="G12" s="20">
        <f>'Fane 3. Grundlag'!G10</f>
        <v>12341110.625389623</v>
      </c>
      <c r="H12" s="10" t="s">
        <v>4</v>
      </c>
      <c r="I12" s="1"/>
    </row>
    <row r="13" spans="1:9" x14ac:dyDescent="0.25">
      <c r="A13" s="1"/>
      <c r="B13" s="73" t="s">
        <v>26</v>
      </c>
      <c r="C13" s="74"/>
      <c r="D13" s="74"/>
      <c r="E13" s="74"/>
      <c r="F13" s="75"/>
      <c r="G13" s="43">
        <f>0.91</f>
        <v>0.91</v>
      </c>
      <c r="H13" s="10" t="s">
        <v>72</v>
      </c>
      <c r="I13" s="1"/>
    </row>
    <row r="14" spans="1:9" x14ac:dyDescent="0.25">
      <c r="A14" s="1"/>
      <c r="B14" s="80" t="s">
        <v>74</v>
      </c>
      <c r="C14" s="81"/>
      <c r="D14" s="81"/>
      <c r="E14" s="81"/>
      <c r="F14" s="82"/>
      <c r="G14" s="32">
        <f>$G$12*$G$13/100</f>
        <v>112304.10669104557</v>
      </c>
      <c r="H14" s="16" t="s">
        <v>4</v>
      </c>
      <c r="I14" s="1"/>
    </row>
    <row r="15" spans="1:9" x14ac:dyDescent="0.25">
      <c r="A15" s="1"/>
      <c r="B15" s="83" t="s">
        <v>104</v>
      </c>
      <c r="C15" s="84"/>
      <c r="D15" s="84"/>
      <c r="E15" s="84"/>
      <c r="F15" s="85"/>
      <c r="G15" s="33">
        <f>G11+G14</f>
        <v>410555.86204374547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9" t="s">
        <v>106</v>
      </c>
      <c r="C3" s="69"/>
      <c r="D3" s="69"/>
      <c r="E3" s="69"/>
      <c r="F3" s="69"/>
      <c r="G3" s="69"/>
      <c r="H3" s="69"/>
      <c r="I3" s="1"/>
    </row>
    <row r="4" spans="1:9" ht="15" customHeight="1" x14ac:dyDescent="0.25">
      <c r="A4" s="1"/>
      <c r="B4" s="69"/>
      <c r="C4" s="69"/>
      <c r="D4" s="69"/>
      <c r="E4" s="69"/>
      <c r="F4" s="69"/>
      <c r="G4" s="69"/>
      <c r="H4" s="6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107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73" t="s">
        <v>76</v>
      </c>
      <c r="C9" s="74"/>
      <c r="D9" s="74"/>
      <c r="E9" s="74"/>
      <c r="F9" s="75"/>
      <c r="G9" s="37">
        <v>-2302968</v>
      </c>
      <c r="H9" s="10" t="s">
        <v>4</v>
      </c>
      <c r="I9" s="1"/>
    </row>
    <row r="10" spans="1:9" x14ac:dyDescent="0.25">
      <c r="A10" s="1"/>
      <c r="B10" s="73" t="s">
        <v>77</v>
      </c>
      <c r="C10" s="74"/>
      <c r="D10" s="74"/>
      <c r="E10" s="74"/>
      <c r="F10" s="75"/>
      <c r="G10" s="37">
        <v>-1550019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-752949</v>
      </c>
      <c r="H11" s="23" t="s">
        <v>4</v>
      </c>
      <c r="I11" s="1"/>
    </row>
    <row r="12" spans="1:9" x14ac:dyDescent="0.25">
      <c r="A12" s="1"/>
      <c r="B12" s="73" t="s">
        <v>78</v>
      </c>
      <c r="C12" s="74"/>
      <c r="D12" s="74"/>
      <c r="E12" s="74"/>
      <c r="F12" s="75"/>
      <c r="G12" s="37">
        <v>4</v>
      </c>
      <c r="H12" s="10" t="s">
        <v>4</v>
      </c>
      <c r="I12" s="1"/>
    </row>
    <row r="13" spans="1:9" x14ac:dyDescent="0.25">
      <c r="A13" s="1"/>
      <c r="B13" s="83" t="s">
        <v>75</v>
      </c>
      <c r="C13" s="84"/>
      <c r="D13" s="84"/>
      <c r="E13" s="84"/>
      <c r="F13" s="85"/>
      <c r="G13" s="33">
        <f>G11/G12</f>
        <v>-188237.25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0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9" t="s">
        <v>30</v>
      </c>
      <c r="C3" s="69"/>
      <c r="D3" s="69"/>
      <c r="E3" s="69"/>
      <c r="F3" s="69"/>
      <c r="G3" s="69"/>
      <c r="H3" s="1"/>
    </row>
    <row r="4" spans="1:8" ht="15" customHeight="1" x14ac:dyDescent="0.25">
      <c r="A4" s="1"/>
      <c r="B4" s="69"/>
      <c r="C4" s="69"/>
      <c r="D4" s="69"/>
      <c r="E4" s="69"/>
      <c r="F4" s="69"/>
      <c r="G4" s="6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3" t="s">
        <v>5</v>
      </c>
      <c r="C8" s="84"/>
      <c r="D8" s="84"/>
      <c r="E8" s="84"/>
      <c r="F8" s="84"/>
      <c r="G8" s="8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75</v>
      </c>
      <c r="E10" s="37">
        <v>1074396.8799999999</v>
      </c>
      <c r="F10" s="20">
        <f>E10/D10</f>
        <v>14325.291733333332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243656.38</v>
      </c>
      <c r="F11" s="20">
        <f t="shared" ref="F11:F67" si="0">E11/D11</f>
        <v>3248.7517333333335</v>
      </c>
      <c r="G11" s="10" t="s">
        <v>4</v>
      </c>
      <c r="H11" s="1"/>
    </row>
    <row r="12" spans="1:8" x14ac:dyDescent="0.25">
      <c r="A12" s="1"/>
      <c r="B12" s="41" t="s">
        <v>113</v>
      </c>
      <c r="C12" s="39">
        <v>2015</v>
      </c>
      <c r="D12" s="39">
        <v>75</v>
      </c>
      <c r="E12" s="37">
        <v>1497594.4</v>
      </c>
      <c r="F12" s="20">
        <f t="shared" si="0"/>
        <v>19967.925333333333</v>
      </c>
      <c r="G12" s="10" t="s">
        <v>4</v>
      </c>
      <c r="H12" s="1"/>
    </row>
    <row r="13" spans="1:8" x14ac:dyDescent="0.25">
      <c r="A13" s="1"/>
      <c r="B13" s="41" t="s">
        <v>115</v>
      </c>
      <c r="C13" s="39">
        <v>2015</v>
      </c>
      <c r="D13" s="39">
        <v>75</v>
      </c>
      <c r="E13" s="37">
        <v>1871993</v>
      </c>
      <c r="F13" s="20">
        <f t="shared" si="0"/>
        <v>24959.906666666666</v>
      </c>
      <c r="G13" s="10" t="s">
        <v>4</v>
      </c>
      <c r="H13" s="1"/>
    </row>
    <row r="14" spans="1:8" x14ac:dyDescent="0.25">
      <c r="A14" s="1"/>
      <c r="B14" s="41" t="s">
        <v>116</v>
      </c>
      <c r="C14" s="39">
        <v>2015</v>
      </c>
      <c r="D14" s="39">
        <v>75</v>
      </c>
      <c r="E14" s="37">
        <v>1123195.8</v>
      </c>
      <c r="F14" s="20">
        <f t="shared" si="0"/>
        <v>14975.944000000001</v>
      </c>
      <c r="G14" s="10" t="s">
        <v>4</v>
      </c>
      <c r="H14" s="1"/>
    </row>
    <row r="15" spans="1:8" x14ac:dyDescent="0.25">
      <c r="A15" s="1"/>
      <c r="B15" s="41" t="s">
        <v>117</v>
      </c>
      <c r="C15" s="39">
        <v>2015</v>
      </c>
      <c r="D15" s="39">
        <v>75</v>
      </c>
      <c r="E15" s="37">
        <v>1497594.4</v>
      </c>
      <c r="F15" s="20">
        <f t="shared" si="0"/>
        <v>19967.925333333333</v>
      </c>
      <c r="G15" s="10" t="s">
        <v>4</v>
      </c>
      <c r="H15" s="1"/>
    </row>
    <row r="16" spans="1:8" x14ac:dyDescent="0.25">
      <c r="A16" s="1"/>
      <c r="B16" s="41" t="s">
        <v>115</v>
      </c>
      <c r="C16" s="39">
        <v>2015</v>
      </c>
      <c r="D16" s="39">
        <v>75</v>
      </c>
      <c r="E16" s="37">
        <v>226303.98</v>
      </c>
      <c r="F16" s="20">
        <f t="shared" si="0"/>
        <v>3017.3864000000003</v>
      </c>
      <c r="G16" s="10" t="s">
        <v>4</v>
      </c>
      <c r="H16" s="1"/>
    </row>
    <row r="17" spans="1:8" x14ac:dyDescent="0.25">
      <c r="A17" s="1"/>
      <c r="B17" s="41" t="s">
        <v>113</v>
      </c>
      <c r="C17" s="39">
        <v>2015</v>
      </c>
      <c r="D17" s="39">
        <v>75</v>
      </c>
      <c r="E17" s="37">
        <v>75434.66</v>
      </c>
      <c r="F17" s="20">
        <f t="shared" si="0"/>
        <v>1005.7954666666667</v>
      </c>
      <c r="G17" s="10" t="s">
        <v>4</v>
      </c>
      <c r="H17" s="1"/>
    </row>
    <row r="18" spans="1:8" x14ac:dyDescent="0.25">
      <c r="A18" s="1"/>
      <c r="B18" s="41" t="s">
        <v>114</v>
      </c>
      <c r="C18" s="39">
        <v>2015</v>
      </c>
      <c r="D18" s="39">
        <v>75</v>
      </c>
      <c r="E18" s="37">
        <v>638155.15</v>
      </c>
      <c r="F18" s="20">
        <f t="shared" si="0"/>
        <v>8508.735333333334</v>
      </c>
      <c r="G18" s="10" t="s">
        <v>4</v>
      </c>
      <c r="H18" s="1"/>
    </row>
    <row r="19" spans="1:8" x14ac:dyDescent="0.25">
      <c r="A19" s="1"/>
      <c r="B19" s="41" t="s">
        <v>113</v>
      </c>
      <c r="C19" s="39">
        <v>2015</v>
      </c>
      <c r="D19" s="39">
        <v>75</v>
      </c>
      <c r="E19" s="37">
        <v>1489028.69</v>
      </c>
      <c r="F19" s="20">
        <f t="shared" si="0"/>
        <v>19853.715866666666</v>
      </c>
      <c r="G19" s="10" t="s">
        <v>4</v>
      </c>
      <c r="H19" s="1"/>
    </row>
    <row r="20" spans="1:8" x14ac:dyDescent="0.25">
      <c r="A20" s="1"/>
      <c r="B20" s="41" t="s">
        <v>115</v>
      </c>
      <c r="C20" s="39">
        <v>2015</v>
      </c>
      <c r="D20" s="39">
        <v>75</v>
      </c>
      <c r="E20" s="37">
        <v>330576.34999999998</v>
      </c>
      <c r="F20" s="20">
        <f t="shared" si="0"/>
        <v>4407.6846666666661</v>
      </c>
      <c r="G20" s="10" t="s">
        <v>4</v>
      </c>
      <c r="H20" s="1"/>
    </row>
    <row r="21" spans="1:8" x14ac:dyDescent="0.25">
      <c r="A21" s="1"/>
      <c r="B21" s="41" t="s">
        <v>114</v>
      </c>
      <c r="C21" s="39">
        <v>2015</v>
      </c>
      <c r="D21" s="39">
        <v>75</v>
      </c>
      <c r="E21" s="37">
        <v>110192.12</v>
      </c>
      <c r="F21" s="20">
        <f t="shared" si="0"/>
        <v>1469.2282666666665</v>
      </c>
      <c r="G21" s="10" t="s">
        <v>4</v>
      </c>
      <c r="H21" s="1"/>
    </row>
    <row r="22" spans="1:8" x14ac:dyDescent="0.25">
      <c r="A22" s="1"/>
      <c r="B22" s="41" t="s">
        <v>115</v>
      </c>
      <c r="C22" s="39">
        <v>2015</v>
      </c>
      <c r="D22" s="39">
        <v>75</v>
      </c>
      <c r="E22" s="37">
        <v>1695401.81</v>
      </c>
      <c r="F22" s="20">
        <f t="shared" si="0"/>
        <v>22605.357466666668</v>
      </c>
      <c r="G22" s="10" t="s">
        <v>4</v>
      </c>
      <c r="H22" s="1"/>
    </row>
    <row r="23" spans="1:8" x14ac:dyDescent="0.25">
      <c r="A23" s="1"/>
      <c r="B23" s="41" t="s">
        <v>113</v>
      </c>
      <c r="C23" s="39">
        <v>2015</v>
      </c>
      <c r="D23" s="39">
        <v>75</v>
      </c>
      <c r="E23" s="37">
        <v>242200.26</v>
      </c>
      <c r="F23" s="20">
        <f t="shared" si="0"/>
        <v>3229.3368</v>
      </c>
      <c r="G23" s="10" t="s">
        <v>4</v>
      </c>
      <c r="H23" s="1"/>
    </row>
    <row r="24" spans="1:8" x14ac:dyDescent="0.25">
      <c r="A24" s="1"/>
      <c r="B24" s="41" t="s">
        <v>114</v>
      </c>
      <c r="C24" s="39">
        <v>2015</v>
      </c>
      <c r="D24" s="39">
        <v>75</v>
      </c>
      <c r="E24" s="37">
        <v>484400.52</v>
      </c>
      <c r="F24" s="20">
        <f t="shared" si="0"/>
        <v>6458.6736000000001</v>
      </c>
      <c r="G24" s="10" t="s">
        <v>4</v>
      </c>
      <c r="H24" s="1"/>
    </row>
    <row r="25" spans="1:8" x14ac:dyDescent="0.25">
      <c r="A25" s="1"/>
      <c r="B25" s="41" t="s">
        <v>118</v>
      </c>
      <c r="C25" s="39">
        <v>2015</v>
      </c>
      <c r="D25" s="39">
        <v>10</v>
      </c>
      <c r="E25" s="37">
        <v>49435.519999999997</v>
      </c>
      <c r="F25" s="20">
        <f t="shared" si="0"/>
        <v>4943.5519999999997</v>
      </c>
      <c r="G25" s="10" t="s">
        <v>4</v>
      </c>
      <c r="H25" s="1"/>
    </row>
    <row r="26" spans="1:8" x14ac:dyDescent="0.25">
      <c r="A26" s="1"/>
      <c r="B26" s="41" t="s">
        <v>114</v>
      </c>
      <c r="C26" s="39">
        <v>2015</v>
      </c>
      <c r="D26" s="39">
        <v>75</v>
      </c>
      <c r="E26" s="37">
        <v>42920.9</v>
      </c>
      <c r="F26" s="20">
        <f t="shared" si="0"/>
        <v>572.27866666666671</v>
      </c>
      <c r="G26" s="10" t="s">
        <v>4</v>
      </c>
      <c r="H26" s="1"/>
    </row>
    <row r="27" spans="1:8" x14ac:dyDescent="0.25">
      <c r="A27" s="1"/>
      <c r="B27" s="41" t="s">
        <v>113</v>
      </c>
      <c r="C27" s="39">
        <v>2015</v>
      </c>
      <c r="D27" s="39">
        <v>75</v>
      </c>
      <c r="E27" s="37">
        <v>42920.9</v>
      </c>
      <c r="F27" s="20">
        <f t="shared" si="0"/>
        <v>572.27866666666671</v>
      </c>
      <c r="G27" s="10" t="s">
        <v>4</v>
      </c>
      <c r="H27" s="1"/>
    </row>
    <row r="28" spans="1:8" x14ac:dyDescent="0.25">
      <c r="A28" s="1"/>
      <c r="B28" s="41" t="s">
        <v>115</v>
      </c>
      <c r="C28" s="39">
        <v>2015</v>
      </c>
      <c r="D28" s="39">
        <v>75</v>
      </c>
      <c r="E28" s="37">
        <v>44221.53</v>
      </c>
      <c r="F28" s="20">
        <f t="shared" si="0"/>
        <v>589.62040000000002</v>
      </c>
      <c r="G28" s="10" t="s">
        <v>4</v>
      </c>
      <c r="H28" s="1"/>
    </row>
    <row r="29" spans="1:8" x14ac:dyDescent="0.25">
      <c r="A29" s="1"/>
      <c r="B29" s="41" t="s">
        <v>116</v>
      </c>
      <c r="C29" s="39">
        <v>2015</v>
      </c>
      <c r="D29" s="39">
        <v>75</v>
      </c>
      <c r="E29" s="37">
        <v>208857.86</v>
      </c>
      <c r="F29" s="20">
        <f t="shared" si="0"/>
        <v>2784.7714666666666</v>
      </c>
      <c r="G29" s="10" t="s">
        <v>4</v>
      </c>
      <c r="H29" s="1"/>
    </row>
    <row r="30" spans="1:8" x14ac:dyDescent="0.25">
      <c r="A30" s="1"/>
      <c r="B30" s="41" t="s">
        <v>119</v>
      </c>
      <c r="C30" s="39">
        <v>2015</v>
      </c>
      <c r="D30" s="39">
        <v>75</v>
      </c>
      <c r="E30" s="37">
        <v>208857.86</v>
      </c>
      <c r="F30" s="20">
        <f t="shared" si="0"/>
        <v>2784.7714666666666</v>
      </c>
      <c r="G30" s="10" t="s">
        <v>4</v>
      </c>
      <c r="H30" s="1"/>
    </row>
    <row r="31" spans="1:8" x14ac:dyDescent="0.25">
      <c r="A31" s="1"/>
      <c r="B31" s="41" t="s">
        <v>113</v>
      </c>
      <c r="C31" s="39">
        <v>2015</v>
      </c>
      <c r="D31" s="39">
        <v>75</v>
      </c>
      <c r="E31" s="37">
        <v>790968.8</v>
      </c>
      <c r="F31" s="20">
        <f t="shared" si="0"/>
        <v>10546.250666666667</v>
      </c>
      <c r="G31" s="10" t="s">
        <v>4</v>
      </c>
      <c r="H31" s="1"/>
    </row>
    <row r="32" spans="1:8" x14ac:dyDescent="0.25">
      <c r="A32" s="1"/>
      <c r="B32" s="41" t="s">
        <v>114</v>
      </c>
      <c r="C32" s="39">
        <v>2015</v>
      </c>
      <c r="D32" s="39">
        <v>75</v>
      </c>
      <c r="E32" s="37">
        <v>395484.4</v>
      </c>
      <c r="F32" s="20">
        <f t="shared" si="0"/>
        <v>5273.1253333333334</v>
      </c>
      <c r="G32" s="10" t="s">
        <v>4</v>
      </c>
      <c r="H32" s="1"/>
    </row>
    <row r="33" spans="1:8" x14ac:dyDescent="0.25">
      <c r="A33" s="1"/>
      <c r="B33" s="41" t="s">
        <v>115</v>
      </c>
      <c r="C33" s="39">
        <v>2015</v>
      </c>
      <c r="D33" s="39">
        <v>75</v>
      </c>
      <c r="E33" s="37">
        <v>790968.8</v>
      </c>
      <c r="F33" s="20">
        <f t="shared" si="0"/>
        <v>10546.250666666667</v>
      </c>
      <c r="G33" s="10" t="s">
        <v>4</v>
      </c>
      <c r="H33" s="1"/>
    </row>
    <row r="34" spans="1:8" x14ac:dyDescent="0.25">
      <c r="A34" s="1"/>
      <c r="B34" s="41" t="s">
        <v>115</v>
      </c>
      <c r="C34" s="39">
        <v>2015</v>
      </c>
      <c r="D34" s="39">
        <v>75</v>
      </c>
      <c r="E34" s="37">
        <v>1144946.26</v>
      </c>
      <c r="F34" s="20">
        <f t="shared" si="0"/>
        <v>15265.950133333334</v>
      </c>
      <c r="G34" s="10" t="s">
        <v>4</v>
      </c>
      <c r="H34" s="1"/>
    </row>
    <row r="35" spans="1:8" x14ac:dyDescent="0.25">
      <c r="A35" s="1"/>
      <c r="B35" s="41" t="s">
        <v>113</v>
      </c>
      <c r="C35" s="39">
        <v>2015</v>
      </c>
      <c r="D35" s="39">
        <v>75</v>
      </c>
      <c r="E35" s="37">
        <v>2671541.2799999998</v>
      </c>
      <c r="F35" s="20">
        <f t="shared" si="0"/>
        <v>35620.5504</v>
      </c>
      <c r="G35" s="10" t="s">
        <v>4</v>
      </c>
      <c r="H35" s="1"/>
    </row>
    <row r="36" spans="1:8" x14ac:dyDescent="0.25">
      <c r="A36" s="1"/>
      <c r="B36" s="41" t="s">
        <v>120</v>
      </c>
      <c r="C36" s="39">
        <v>2015</v>
      </c>
      <c r="D36" s="39">
        <v>8</v>
      </c>
      <c r="E36" s="37">
        <v>1698102.06</v>
      </c>
      <c r="F36" s="20">
        <f t="shared" si="0"/>
        <v>212262.75750000001</v>
      </c>
      <c r="G36" s="10" t="s">
        <v>4</v>
      </c>
      <c r="H36" s="1"/>
    </row>
    <row r="37" spans="1:8" x14ac:dyDescent="0.25">
      <c r="A37" s="1"/>
      <c r="B37" s="41" t="s">
        <v>114</v>
      </c>
      <c r="C37" s="39">
        <v>2015</v>
      </c>
      <c r="D37" s="39">
        <v>75</v>
      </c>
      <c r="E37" s="37">
        <v>84673.47</v>
      </c>
      <c r="F37" s="20">
        <f t="shared" si="0"/>
        <v>1128.9796000000001</v>
      </c>
      <c r="G37" s="10" t="s">
        <v>4</v>
      </c>
      <c r="H37" s="1"/>
    </row>
    <row r="38" spans="1:8" x14ac:dyDescent="0.25">
      <c r="A38" s="1"/>
      <c r="B38" s="41" t="s">
        <v>121</v>
      </c>
      <c r="C38" s="39">
        <v>2015</v>
      </c>
      <c r="D38" s="39">
        <v>75</v>
      </c>
      <c r="E38" s="37">
        <v>275188.78000000003</v>
      </c>
      <c r="F38" s="20">
        <f t="shared" si="0"/>
        <v>3669.1837333333337</v>
      </c>
      <c r="G38" s="10" t="s">
        <v>4</v>
      </c>
      <c r="H38" s="1"/>
    </row>
    <row r="39" spans="1:8" x14ac:dyDescent="0.25">
      <c r="A39" s="1"/>
      <c r="B39" s="41" t="s">
        <v>113</v>
      </c>
      <c r="C39" s="39">
        <v>2015</v>
      </c>
      <c r="D39" s="39">
        <v>75</v>
      </c>
      <c r="E39" s="37">
        <v>63505.1</v>
      </c>
      <c r="F39" s="20">
        <f t="shared" si="0"/>
        <v>846.73466666666661</v>
      </c>
      <c r="G39" s="10" t="s">
        <v>4</v>
      </c>
      <c r="H39" s="1"/>
    </row>
    <row r="40" spans="1:8" x14ac:dyDescent="0.25">
      <c r="A40" s="1"/>
      <c r="B40" s="41" t="s">
        <v>121</v>
      </c>
      <c r="C40" s="39">
        <v>2015</v>
      </c>
      <c r="D40" s="39">
        <v>75</v>
      </c>
      <c r="E40" s="37">
        <v>1124807.44</v>
      </c>
      <c r="F40" s="20">
        <f t="shared" si="0"/>
        <v>14997.432533333333</v>
      </c>
      <c r="G40" s="10" t="s">
        <v>4</v>
      </c>
      <c r="H40" s="1"/>
    </row>
    <row r="41" spans="1:8" x14ac:dyDescent="0.25">
      <c r="A41" s="1"/>
      <c r="B41" s="41" t="s">
        <v>114</v>
      </c>
      <c r="C41" s="39">
        <v>2015</v>
      </c>
      <c r="D41" s="39">
        <v>75</v>
      </c>
      <c r="E41" s="37">
        <v>374935.81</v>
      </c>
      <c r="F41" s="20">
        <f t="shared" si="0"/>
        <v>4999.1441333333332</v>
      </c>
      <c r="G41" s="10" t="s">
        <v>4</v>
      </c>
      <c r="H41" s="1"/>
    </row>
    <row r="42" spans="1:8" x14ac:dyDescent="0.25">
      <c r="A42" s="1"/>
      <c r="B42" s="41" t="s">
        <v>115</v>
      </c>
      <c r="C42" s="39">
        <v>2015</v>
      </c>
      <c r="D42" s="39">
        <v>75</v>
      </c>
      <c r="E42" s="37">
        <v>355575.69</v>
      </c>
      <c r="F42" s="20">
        <f t="shared" si="0"/>
        <v>4741.0092000000004</v>
      </c>
      <c r="G42" s="10" t="s">
        <v>4</v>
      </c>
      <c r="H42" s="1"/>
    </row>
    <row r="43" spans="1:8" x14ac:dyDescent="0.25">
      <c r="A43" s="1"/>
      <c r="B43" s="41" t="s">
        <v>114</v>
      </c>
      <c r="C43" s="39">
        <v>2015</v>
      </c>
      <c r="D43" s="39">
        <v>75</v>
      </c>
      <c r="E43" s="37">
        <v>355575.69</v>
      </c>
      <c r="F43" s="20">
        <f t="shared" si="0"/>
        <v>4741.0092000000004</v>
      </c>
      <c r="G43" s="10" t="s">
        <v>4</v>
      </c>
      <c r="H43" s="1"/>
    </row>
    <row r="44" spans="1:8" x14ac:dyDescent="0.25">
      <c r="A44" s="1"/>
      <c r="B44" s="41" t="s">
        <v>117</v>
      </c>
      <c r="C44" s="39">
        <v>2015</v>
      </c>
      <c r="D44" s="39">
        <v>75</v>
      </c>
      <c r="E44" s="37">
        <v>1074396.8799999999</v>
      </c>
      <c r="F44" s="20">
        <f t="shared" si="0"/>
        <v>14325.291733333332</v>
      </c>
      <c r="G44" s="10" t="s">
        <v>4</v>
      </c>
      <c r="H44" s="1"/>
    </row>
    <row r="45" spans="1:8" x14ac:dyDescent="0.25">
      <c r="A45" s="1"/>
      <c r="B45" s="41" t="s">
        <v>117</v>
      </c>
      <c r="C45" s="39">
        <v>2015</v>
      </c>
      <c r="D45" s="39">
        <v>75</v>
      </c>
      <c r="E45" s="37">
        <v>1497594.4</v>
      </c>
      <c r="F45" s="20">
        <f t="shared" si="0"/>
        <v>19967.925333333333</v>
      </c>
      <c r="G45" s="10" t="s">
        <v>4</v>
      </c>
      <c r="H45" s="1"/>
    </row>
    <row r="46" spans="1:8" x14ac:dyDescent="0.25">
      <c r="A46" s="1"/>
      <c r="B46" s="41" t="s">
        <v>122</v>
      </c>
      <c r="C46" s="39">
        <v>2015</v>
      </c>
      <c r="D46" s="39">
        <v>25</v>
      </c>
      <c r="E46" s="37">
        <v>20956</v>
      </c>
      <c r="F46" s="20">
        <f t="shared" si="0"/>
        <v>838.24</v>
      </c>
      <c r="G46" s="10" t="s">
        <v>4</v>
      </c>
      <c r="H46" s="1"/>
    </row>
    <row r="47" spans="1:8" x14ac:dyDescent="0.25">
      <c r="A47" s="1"/>
      <c r="B47" s="41" t="s">
        <v>123</v>
      </c>
      <c r="C47" s="39">
        <v>2015</v>
      </c>
      <c r="D47" s="39">
        <v>25</v>
      </c>
      <c r="E47" s="37">
        <v>43971</v>
      </c>
      <c r="F47" s="20">
        <f t="shared" si="0"/>
        <v>1758.84</v>
      </c>
      <c r="G47" s="10" t="s">
        <v>4</v>
      </c>
      <c r="H47" s="1"/>
    </row>
    <row r="48" spans="1:8" x14ac:dyDescent="0.25">
      <c r="A48" s="1"/>
      <c r="B48" s="41" t="s">
        <v>124</v>
      </c>
      <c r="C48" s="39">
        <v>2015</v>
      </c>
      <c r="D48" s="39">
        <v>5</v>
      </c>
      <c r="E48" s="37">
        <v>14853.8</v>
      </c>
      <c r="F48" s="20">
        <f t="shared" si="0"/>
        <v>2970.7599999999998</v>
      </c>
      <c r="G48" s="10" t="s">
        <v>4</v>
      </c>
      <c r="H48" s="1"/>
    </row>
    <row r="49" spans="1:8" x14ac:dyDescent="0.25">
      <c r="A49" s="1"/>
      <c r="B49" s="41" t="s">
        <v>124</v>
      </c>
      <c r="C49" s="39">
        <v>2015</v>
      </c>
      <c r="D49" s="39">
        <v>5</v>
      </c>
      <c r="E49" s="37">
        <v>17000</v>
      </c>
      <c r="F49" s="20">
        <f t="shared" si="0"/>
        <v>3400</v>
      </c>
      <c r="G49" s="10" t="s">
        <v>4</v>
      </c>
      <c r="H49" s="1"/>
    </row>
    <row r="50" spans="1:8" x14ac:dyDescent="0.25">
      <c r="A50" s="1"/>
      <c r="B50" s="41" t="s">
        <v>124</v>
      </c>
      <c r="C50" s="39">
        <v>2015</v>
      </c>
      <c r="D50" s="39">
        <v>5</v>
      </c>
      <c r="E50" s="37">
        <v>60000</v>
      </c>
      <c r="F50" s="20">
        <f t="shared" si="0"/>
        <v>12000</v>
      </c>
      <c r="G50" s="10" t="s">
        <v>4</v>
      </c>
      <c r="H50" s="1"/>
    </row>
    <row r="51" spans="1:8" x14ac:dyDescent="0.25">
      <c r="A51" s="1"/>
      <c r="B51" s="41" t="s">
        <v>124</v>
      </c>
      <c r="C51" s="39">
        <v>2015</v>
      </c>
      <c r="D51" s="39">
        <v>5</v>
      </c>
      <c r="E51" s="37">
        <v>24000</v>
      </c>
      <c r="F51" s="20">
        <f t="shared" si="0"/>
        <v>4800</v>
      </c>
      <c r="G51" s="10" t="s">
        <v>4</v>
      </c>
      <c r="H51" s="1"/>
    </row>
    <row r="52" spans="1:8" x14ac:dyDescent="0.25">
      <c r="A52" s="1"/>
      <c r="B52" s="41" t="s">
        <v>124</v>
      </c>
      <c r="C52" s="39">
        <v>2015</v>
      </c>
      <c r="D52" s="39">
        <v>5</v>
      </c>
      <c r="E52" s="37">
        <v>30266</v>
      </c>
      <c r="F52" s="20">
        <f t="shared" si="0"/>
        <v>6053.2</v>
      </c>
      <c r="G52" s="10" t="s">
        <v>4</v>
      </c>
      <c r="H52" s="1"/>
    </row>
    <row r="53" spans="1:8" x14ac:dyDescent="0.25">
      <c r="A53" s="1"/>
      <c r="B53" s="41" t="s">
        <v>125</v>
      </c>
      <c r="C53" s="39">
        <v>2015</v>
      </c>
      <c r="D53" s="39">
        <v>25</v>
      </c>
      <c r="E53" s="37">
        <v>17508.48</v>
      </c>
      <c r="F53" s="20">
        <f t="shared" si="0"/>
        <v>700.33920000000001</v>
      </c>
      <c r="G53" s="10" t="s">
        <v>4</v>
      </c>
      <c r="H53" s="1"/>
    </row>
    <row r="54" spans="1:8" x14ac:dyDescent="0.25">
      <c r="A54" s="1"/>
      <c r="B54" s="41" t="s">
        <v>124</v>
      </c>
      <c r="C54" s="39">
        <v>2015</v>
      </c>
      <c r="D54" s="39">
        <v>5</v>
      </c>
      <c r="E54" s="37">
        <v>19000</v>
      </c>
      <c r="F54" s="20">
        <f t="shared" si="0"/>
        <v>3800</v>
      </c>
      <c r="G54" s="10" t="s">
        <v>4</v>
      </c>
      <c r="H54" s="1"/>
    </row>
    <row r="55" spans="1:8" x14ac:dyDescent="0.25">
      <c r="A55" s="1"/>
      <c r="B55" s="41" t="s">
        <v>124</v>
      </c>
      <c r="C55" s="39">
        <v>2015</v>
      </c>
      <c r="D55" s="39">
        <v>5</v>
      </c>
      <c r="E55" s="37">
        <v>18000</v>
      </c>
      <c r="F55" s="20">
        <f t="shared" si="0"/>
        <v>3600</v>
      </c>
      <c r="G55" s="10" t="s">
        <v>4</v>
      </c>
      <c r="H55" s="1"/>
    </row>
    <row r="56" spans="1:8" x14ac:dyDescent="0.25">
      <c r="A56" s="1"/>
      <c r="B56" s="41" t="s">
        <v>126</v>
      </c>
      <c r="C56" s="39">
        <v>2015</v>
      </c>
      <c r="D56" s="39">
        <v>5</v>
      </c>
      <c r="E56" s="37">
        <v>30364</v>
      </c>
      <c r="F56" s="20">
        <f t="shared" si="0"/>
        <v>6072.8</v>
      </c>
      <c r="G56" s="10" t="s">
        <v>4</v>
      </c>
      <c r="H56" s="1"/>
    </row>
    <row r="57" spans="1:8" x14ac:dyDescent="0.25">
      <c r="A57" s="1"/>
      <c r="B57" s="41" t="s">
        <v>124</v>
      </c>
      <c r="C57" s="39">
        <v>2015</v>
      </c>
      <c r="D57" s="39">
        <v>5</v>
      </c>
      <c r="E57" s="37">
        <v>14319.35</v>
      </c>
      <c r="F57" s="20">
        <f t="shared" si="0"/>
        <v>2863.87</v>
      </c>
      <c r="G57" s="10" t="s">
        <v>4</v>
      </c>
      <c r="H57" s="1"/>
    </row>
    <row r="58" spans="1:8" x14ac:dyDescent="0.25">
      <c r="A58" s="1"/>
      <c r="B58" s="41" t="s">
        <v>124</v>
      </c>
      <c r="C58" s="39">
        <v>2015</v>
      </c>
      <c r="D58" s="39">
        <v>5</v>
      </c>
      <c r="E58" s="37">
        <v>66000</v>
      </c>
      <c r="F58" s="20">
        <f t="shared" si="0"/>
        <v>13200</v>
      </c>
      <c r="G58" s="10" t="s">
        <v>4</v>
      </c>
      <c r="H58" s="1"/>
    </row>
    <row r="59" spans="1:8" x14ac:dyDescent="0.25">
      <c r="A59" s="1"/>
      <c r="B59" s="41" t="s">
        <v>126</v>
      </c>
      <c r="C59" s="39">
        <v>2015</v>
      </c>
      <c r="D59" s="39">
        <v>5</v>
      </c>
      <c r="E59" s="37">
        <v>40790</v>
      </c>
      <c r="F59" s="20">
        <f t="shared" si="0"/>
        <v>8158</v>
      </c>
      <c r="G59" s="10" t="s">
        <v>4</v>
      </c>
      <c r="H59" s="1"/>
    </row>
    <row r="60" spans="1:8" x14ac:dyDescent="0.25">
      <c r="A60" s="1"/>
      <c r="B60" s="41" t="s">
        <v>127</v>
      </c>
      <c r="C60" s="39">
        <v>2015</v>
      </c>
      <c r="D60" s="39">
        <v>5</v>
      </c>
      <c r="E60" s="37">
        <v>36100</v>
      </c>
      <c r="F60" s="20">
        <f t="shared" si="0"/>
        <v>7220</v>
      </c>
      <c r="G60" s="10" t="s">
        <v>4</v>
      </c>
      <c r="H60" s="1"/>
    </row>
    <row r="61" spans="1:8" x14ac:dyDescent="0.25">
      <c r="A61" s="1"/>
      <c r="B61" s="41" t="s">
        <v>126</v>
      </c>
      <c r="C61" s="39">
        <v>2015</v>
      </c>
      <c r="D61" s="39">
        <v>5</v>
      </c>
      <c r="E61" s="37">
        <v>265135</v>
      </c>
      <c r="F61" s="20">
        <f t="shared" si="0"/>
        <v>53027</v>
      </c>
      <c r="G61" s="10" t="s">
        <v>4</v>
      </c>
      <c r="H61" s="1"/>
    </row>
    <row r="62" spans="1:8" x14ac:dyDescent="0.25">
      <c r="A62" s="1"/>
      <c r="B62" s="41" t="s">
        <v>128</v>
      </c>
      <c r="C62" s="39">
        <v>2015</v>
      </c>
      <c r="D62" s="39">
        <v>15</v>
      </c>
      <c r="E62" s="37">
        <v>568531.54</v>
      </c>
      <c r="F62" s="20">
        <f t="shared" si="0"/>
        <v>37902.102666666666</v>
      </c>
      <c r="G62" s="10" t="s">
        <v>4</v>
      </c>
      <c r="H62" s="1"/>
    </row>
    <row r="63" spans="1:8" x14ac:dyDescent="0.25">
      <c r="A63" s="1"/>
      <c r="B63" s="41" t="s">
        <v>124</v>
      </c>
      <c r="C63" s="39">
        <v>2015</v>
      </c>
      <c r="D63" s="39">
        <v>5</v>
      </c>
      <c r="E63" s="37">
        <v>24217</v>
      </c>
      <c r="F63" s="20">
        <f t="shared" si="0"/>
        <v>4843.3999999999996</v>
      </c>
      <c r="G63" s="10" t="s">
        <v>4</v>
      </c>
      <c r="H63" s="1"/>
    </row>
    <row r="64" spans="1:8" x14ac:dyDescent="0.25">
      <c r="A64" s="1"/>
      <c r="B64" s="41" t="s">
        <v>129</v>
      </c>
      <c r="C64" s="39">
        <v>2015</v>
      </c>
      <c r="D64" s="39">
        <v>10</v>
      </c>
      <c r="E64" s="37">
        <v>14335</v>
      </c>
      <c r="F64" s="20">
        <f t="shared" si="0"/>
        <v>1433.5</v>
      </c>
      <c r="G64" s="10" t="s">
        <v>4</v>
      </c>
      <c r="H64" s="1"/>
    </row>
    <row r="65" spans="1:8" x14ac:dyDescent="0.25">
      <c r="A65" s="1"/>
      <c r="B65" s="41" t="s">
        <v>130</v>
      </c>
      <c r="C65" s="39">
        <v>2015</v>
      </c>
      <c r="D65" s="39">
        <v>25</v>
      </c>
      <c r="E65" s="37">
        <v>362180.92</v>
      </c>
      <c r="F65" s="20">
        <f t="shared" si="0"/>
        <v>14487.236799999999</v>
      </c>
      <c r="G65" s="10" t="s">
        <v>4</v>
      </c>
      <c r="H65" s="1"/>
    </row>
    <row r="66" spans="1:8" x14ac:dyDescent="0.25">
      <c r="A66" s="1"/>
      <c r="B66" s="41" t="s">
        <v>131</v>
      </c>
      <c r="C66" s="39">
        <v>2015</v>
      </c>
      <c r="D66" s="39">
        <v>10</v>
      </c>
      <c r="E66" s="37">
        <v>90545.23</v>
      </c>
      <c r="F66" s="20">
        <f t="shared" si="0"/>
        <v>9054.5229999999992</v>
      </c>
      <c r="G66" s="10" t="s">
        <v>4</v>
      </c>
      <c r="H66" s="1"/>
    </row>
    <row r="67" spans="1:8" x14ac:dyDescent="0.25">
      <c r="A67" s="1"/>
      <c r="B67" s="41" t="s">
        <v>127</v>
      </c>
      <c r="C67" s="39">
        <v>2015</v>
      </c>
      <c r="D67" s="39">
        <v>5</v>
      </c>
      <c r="E67" s="37">
        <v>29600</v>
      </c>
      <c r="F67" s="20">
        <f t="shared" si="0"/>
        <v>5920</v>
      </c>
      <c r="G67" s="10" t="s">
        <v>4</v>
      </c>
      <c r="H67" s="1"/>
    </row>
    <row r="68" spans="1:8" x14ac:dyDescent="0.25">
      <c r="A68" s="1"/>
      <c r="B68" s="83" t="s">
        <v>132</v>
      </c>
      <c r="C68" s="84"/>
      <c r="D68" s="84"/>
      <c r="E68" s="85"/>
      <c r="F68" s="33">
        <f>SUM(F10:F67)</f>
        <v>743284.33783333329</v>
      </c>
      <c r="G68" s="18" t="s">
        <v>4</v>
      </c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6"/>
      <c r="B73" s="6"/>
      <c r="C73" s="6"/>
      <c r="D73" s="6"/>
      <c r="E73" s="6"/>
      <c r="F73" s="6"/>
      <c r="G73" s="6"/>
      <c r="H73" s="6"/>
    </row>
    <row r="74" spans="1:8" x14ac:dyDescent="0.25">
      <c r="A74" s="6"/>
      <c r="B74" s="6"/>
      <c r="C74" s="6"/>
      <c r="D74" s="6"/>
      <c r="E74" s="6"/>
      <c r="F74" s="6"/>
      <c r="G74" s="6"/>
      <c r="H74" s="6"/>
    </row>
    <row r="75" spans="1:8" x14ac:dyDescent="0.25">
      <c r="A75" s="6"/>
      <c r="B75" s="6"/>
      <c r="C75" s="6"/>
      <c r="D75" s="6"/>
      <c r="E75" s="6"/>
      <c r="F75" s="6"/>
      <c r="G75" s="6"/>
      <c r="H75" s="6"/>
    </row>
    <row r="76" spans="1:8" x14ac:dyDescent="0.25">
      <c r="A76" s="6"/>
      <c r="B76" s="6"/>
      <c r="C76" s="6"/>
      <c r="D76" s="6"/>
      <c r="E76" s="6"/>
      <c r="F76" s="6"/>
      <c r="G76" s="6"/>
      <c r="H76" s="6"/>
    </row>
    <row r="77" spans="1:8" x14ac:dyDescent="0.25">
      <c r="A77" s="6"/>
      <c r="B77" s="6"/>
      <c r="C77" s="6"/>
      <c r="D77" s="6"/>
      <c r="E77" s="6"/>
      <c r="F77" s="6"/>
      <c r="G77" s="6"/>
      <c r="H77" s="6"/>
    </row>
    <row r="78" spans="1:8" x14ac:dyDescent="0.25">
      <c r="A78" s="6"/>
      <c r="B78" s="6"/>
      <c r="C78" s="6"/>
      <c r="D78" s="6"/>
      <c r="E78" s="6"/>
      <c r="F78" s="6"/>
      <c r="G78" s="6"/>
      <c r="H78" s="6"/>
    </row>
    <row r="79" spans="1:8" x14ac:dyDescent="0.25">
      <c r="A79" s="6"/>
      <c r="B79" s="6"/>
      <c r="C79" s="6"/>
      <c r="D79" s="6"/>
      <c r="E79" s="6"/>
      <c r="F79" s="6"/>
      <c r="G79" s="6"/>
      <c r="H79" s="6"/>
    </row>
    <row r="80" spans="1:8" x14ac:dyDescent="0.25">
      <c r="A80" s="6"/>
      <c r="B80" s="6"/>
      <c r="C80" s="6"/>
      <c r="D80" s="6"/>
      <c r="E80" s="6"/>
      <c r="F80" s="6"/>
      <c r="G80" s="6"/>
      <c r="H80" s="6"/>
    </row>
    <row r="81" spans="1:8" x14ac:dyDescent="0.25">
      <c r="A81" s="6"/>
      <c r="B81" s="6"/>
      <c r="C81" s="6"/>
      <c r="D81" s="6"/>
      <c r="E81" s="6"/>
      <c r="F81" s="6"/>
      <c r="G81" s="6"/>
      <c r="H81" s="6"/>
    </row>
    <row r="82" spans="1:8" x14ac:dyDescent="0.25">
      <c r="A82" s="6"/>
      <c r="B82" s="6"/>
      <c r="C82" s="6"/>
      <c r="D82" s="6"/>
      <c r="E82" s="6"/>
      <c r="F82" s="6"/>
      <c r="G82" s="6"/>
      <c r="H82" s="6"/>
    </row>
    <row r="83" spans="1:8" x14ac:dyDescent="0.25">
      <c r="A83" s="6"/>
      <c r="B83" s="6"/>
      <c r="C83" s="6"/>
      <c r="D83" s="6"/>
      <c r="E83" s="6"/>
      <c r="F83" s="6"/>
      <c r="G83" s="6"/>
      <c r="H83" s="6"/>
    </row>
    <row r="84" spans="1:8" x14ac:dyDescent="0.25">
      <c r="A84" s="6"/>
      <c r="B84" s="6"/>
      <c r="C84" s="6"/>
      <c r="D84" s="6"/>
      <c r="E84" s="6"/>
      <c r="F84" s="6"/>
      <c r="G84" s="6"/>
      <c r="H84" s="6"/>
    </row>
    <row r="85" spans="1:8" x14ac:dyDescent="0.25">
      <c r="A85" s="6"/>
      <c r="B85" s="6"/>
      <c r="C85" s="6"/>
      <c r="D85" s="6"/>
      <c r="E85" s="6"/>
      <c r="F85" s="6"/>
      <c r="G85" s="6"/>
      <c r="H85" s="6"/>
    </row>
    <row r="86" spans="1:8" x14ac:dyDescent="0.25">
      <c r="A86" s="6"/>
      <c r="B86" s="6"/>
      <c r="C86" s="6"/>
      <c r="D86" s="6"/>
      <c r="E86" s="6"/>
      <c r="F86" s="6"/>
      <c r="G86" s="6"/>
      <c r="H86" s="6"/>
    </row>
    <row r="87" spans="1:8" x14ac:dyDescent="0.25">
      <c r="A87" s="6"/>
      <c r="B87" s="6"/>
      <c r="C87" s="6"/>
      <c r="D87" s="6"/>
      <c r="E87" s="6"/>
      <c r="F87" s="6"/>
      <c r="G87" s="6"/>
      <c r="H87" s="6"/>
    </row>
    <row r="88" spans="1:8" x14ac:dyDescent="0.25">
      <c r="A88" s="6"/>
      <c r="B88" s="6"/>
      <c r="C88" s="6"/>
      <c r="D88" s="6"/>
      <c r="E88" s="6"/>
      <c r="F88" s="6"/>
      <c r="G88" s="6"/>
      <c r="H88" s="6"/>
    </row>
    <row r="89" spans="1:8" x14ac:dyDescent="0.25">
      <c r="A89" s="6"/>
      <c r="B89" s="6"/>
      <c r="C89" s="6"/>
      <c r="D89" s="6"/>
      <c r="E89" s="6"/>
      <c r="F89" s="6"/>
      <c r="G89" s="6"/>
      <c r="H89" s="6"/>
    </row>
    <row r="90" spans="1:8" x14ac:dyDescent="0.25">
      <c r="A90" s="6"/>
      <c r="B90" s="6"/>
      <c r="C90" s="6"/>
      <c r="D90" s="6"/>
      <c r="E90" s="6"/>
      <c r="F90" s="6"/>
      <c r="G90" s="6"/>
      <c r="H90" s="6"/>
    </row>
    <row r="91" spans="1:8" x14ac:dyDescent="0.25">
      <c r="A91" s="6"/>
      <c r="B91" s="6"/>
      <c r="C91" s="6"/>
      <c r="D91" s="6"/>
      <c r="E91" s="6"/>
      <c r="F91" s="6"/>
      <c r="G91" s="6"/>
      <c r="H91" s="6"/>
    </row>
    <row r="92" spans="1:8" x14ac:dyDescent="0.25">
      <c r="A92" s="6"/>
      <c r="B92" s="6"/>
      <c r="C92" s="6"/>
      <c r="D92" s="6"/>
      <c r="E92" s="6"/>
      <c r="F92" s="6"/>
      <c r="G92" s="6"/>
      <c r="H92" s="6"/>
    </row>
    <row r="93" spans="1:8" x14ac:dyDescent="0.25">
      <c r="A93" s="6"/>
      <c r="B93" s="6"/>
      <c r="C93" s="6"/>
      <c r="D93" s="6"/>
      <c r="E93" s="6"/>
      <c r="F93" s="6"/>
      <c r="G93" s="6"/>
      <c r="H93" s="6"/>
    </row>
    <row r="94" spans="1:8" x14ac:dyDescent="0.25">
      <c r="A94" s="6"/>
      <c r="B94" s="6"/>
      <c r="C94" s="6"/>
      <c r="D94" s="6"/>
      <c r="E94" s="6"/>
      <c r="F94" s="6"/>
      <c r="G94" s="6"/>
      <c r="H94" s="6"/>
    </row>
    <row r="95" spans="1:8" x14ac:dyDescent="0.25">
      <c r="A95" s="6"/>
      <c r="B95" s="6"/>
      <c r="C95" s="6"/>
      <c r="D95" s="6"/>
      <c r="E95" s="6"/>
      <c r="F95" s="6"/>
      <c r="G95" s="6"/>
      <c r="H95" s="6"/>
    </row>
    <row r="96" spans="1:8" x14ac:dyDescent="0.25">
      <c r="A96" s="6"/>
      <c r="B96" s="6"/>
      <c r="C96" s="6"/>
      <c r="D96" s="6"/>
      <c r="E96" s="6"/>
      <c r="F96" s="6"/>
      <c r="G96" s="6"/>
      <c r="H96" s="6"/>
    </row>
    <row r="97" spans="1:8" x14ac:dyDescent="0.25">
      <c r="A97" s="6"/>
      <c r="B97" s="6"/>
      <c r="C97" s="6"/>
      <c r="D97" s="6"/>
      <c r="E97" s="6"/>
      <c r="F97" s="6"/>
      <c r="G97" s="6"/>
      <c r="H97" s="6"/>
    </row>
    <row r="98" spans="1:8" x14ac:dyDescent="0.25">
      <c r="A98" s="6"/>
      <c r="B98" s="6"/>
      <c r="C98" s="6"/>
      <c r="D98" s="6"/>
      <c r="E98" s="6"/>
      <c r="F98" s="6"/>
      <c r="G98" s="6"/>
      <c r="H98" s="6"/>
    </row>
    <row r="99" spans="1:8" x14ac:dyDescent="0.25">
      <c r="A99" s="6"/>
      <c r="B99" s="6"/>
      <c r="C99" s="6"/>
      <c r="D99" s="6"/>
      <c r="E99" s="6"/>
      <c r="F99" s="6"/>
      <c r="G99" s="6"/>
      <c r="H99" s="6"/>
    </row>
    <row r="100" spans="1:8" x14ac:dyDescent="0.25">
      <c r="A100" s="6"/>
      <c r="B100" s="6"/>
      <c r="C100" s="6"/>
      <c r="D100" s="6"/>
      <c r="E100" s="6"/>
      <c r="F100" s="6"/>
      <c r="G100" s="6"/>
      <c r="H100" s="6"/>
    </row>
  </sheetData>
  <sheetProtection password="C6BD" sheet="1" objects="1" scenarios="1"/>
  <mergeCells count="4">
    <mergeCell ref="B68:E6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3" t="s">
        <v>80</v>
      </c>
      <c r="C9" s="74"/>
      <c r="D9" s="74"/>
      <c r="E9" s="74"/>
      <c r="F9" s="75"/>
      <c r="G9" s="37">
        <v>24804545</v>
      </c>
      <c r="H9" s="10" t="s">
        <v>4</v>
      </c>
      <c r="I9" s="1"/>
    </row>
    <row r="10" spans="1:9" x14ac:dyDescent="0.25">
      <c r="A10" s="1"/>
      <c r="B10" s="73" t="s">
        <v>81</v>
      </c>
      <c r="C10" s="74"/>
      <c r="D10" s="74"/>
      <c r="E10" s="74"/>
      <c r="F10" s="75"/>
      <c r="G10" s="37">
        <v>28742686</v>
      </c>
      <c r="H10" s="10" t="s">
        <v>4</v>
      </c>
      <c r="I10" s="1"/>
    </row>
    <row r="11" spans="1:9" x14ac:dyDescent="0.25">
      <c r="A11" s="1"/>
      <c r="B11" s="83" t="s">
        <v>82</v>
      </c>
      <c r="C11" s="84"/>
      <c r="D11" s="84"/>
      <c r="E11" s="84"/>
      <c r="F11" s="85"/>
      <c r="G11" s="33">
        <f>G9-G10</f>
        <v>-3938141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3" t="s">
        <v>84</v>
      </c>
      <c r="C15" s="74"/>
      <c r="D15" s="74"/>
      <c r="E15" s="74"/>
      <c r="F15" s="75"/>
      <c r="G15" s="37">
        <v>2104566</v>
      </c>
      <c r="H15" s="10" t="s">
        <v>4</v>
      </c>
      <c r="I15" s="1"/>
    </row>
    <row r="16" spans="1:9" x14ac:dyDescent="0.25">
      <c r="A16" s="1"/>
      <c r="B16" s="73" t="s">
        <v>85</v>
      </c>
      <c r="C16" s="74"/>
      <c r="D16" s="74"/>
      <c r="E16" s="74"/>
      <c r="F16" s="75"/>
      <c r="G16" s="37">
        <v>3397724</v>
      </c>
      <c r="H16" s="10" t="s">
        <v>4</v>
      </c>
      <c r="I16" s="1"/>
    </row>
    <row r="17" spans="1:9" x14ac:dyDescent="0.25">
      <c r="A17" s="1"/>
      <c r="B17" s="83" t="s">
        <v>86</v>
      </c>
      <c r="C17" s="84"/>
      <c r="D17" s="84"/>
      <c r="E17" s="84"/>
      <c r="F17" s="85"/>
      <c r="G17" s="33">
        <f>G15-G16</f>
        <v>-1293158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3" t="s">
        <v>94</v>
      </c>
      <c r="C21" s="74"/>
      <c r="D21" s="74"/>
      <c r="E21" s="74"/>
      <c r="F21" s="75"/>
      <c r="G21" s="37">
        <v>146214</v>
      </c>
      <c r="H21" s="10" t="s">
        <v>4</v>
      </c>
      <c r="I21" s="1"/>
    </row>
    <row r="22" spans="1:9" x14ac:dyDescent="0.25">
      <c r="A22" s="1"/>
      <c r="B22" s="73" t="s">
        <v>96</v>
      </c>
      <c r="C22" s="74"/>
      <c r="D22" s="74"/>
      <c r="E22" s="74"/>
      <c r="F22" s="75"/>
      <c r="G22" s="37">
        <v>550000</v>
      </c>
      <c r="H22" s="10" t="s">
        <v>4</v>
      </c>
      <c r="I22" s="1"/>
    </row>
    <row r="23" spans="1:9" x14ac:dyDescent="0.25">
      <c r="A23" s="1"/>
      <c r="B23" s="83" t="s">
        <v>95</v>
      </c>
      <c r="C23" s="84"/>
      <c r="D23" s="84"/>
      <c r="E23" s="84"/>
      <c r="F23" s="85"/>
      <c r="G23" s="33">
        <f>G21-G22</f>
        <v>-403786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3" t="s">
        <v>88</v>
      </c>
      <c r="C27" s="74"/>
      <c r="D27" s="74"/>
      <c r="E27" s="74"/>
      <c r="F27" s="75"/>
      <c r="G27" s="37">
        <v>916379</v>
      </c>
      <c r="H27" s="10" t="s">
        <v>4</v>
      </c>
      <c r="I27" s="1"/>
    </row>
    <row r="28" spans="1:9" x14ac:dyDescent="0.25">
      <c r="A28" s="1"/>
      <c r="B28" s="73" t="s">
        <v>89</v>
      </c>
      <c r="C28" s="74"/>
      <c r="D28" s="74"/>
      <c r="E28" s="74"/>
      <c r="F28" s="75"/>
      <c r="G28" s="37">
        <v>769333</v>
      </c>
      <c r="H28" s="10" t="s">
        <v>4</v>
      </c>
      <c r="I28" s="1"/>
    </row>
    <row r="29" spans="1:9" x14ac:dyDescent="0.25">
      <c r="A29" s="1"/>
      <c r="B29" s="73" t="s">
        <v>90</v>
      </c>
      <c r="C29" s="74"/>
      <c r="D29" s="74"/>
      <c r="E29" s="74"/>
      <c r="F29" s="75"/>
      <c r="G29" s="20">
        <f>'Fane 7. Gen. inv. i 2015'!F68</f>
        <v>743284.33783333329</v>
      </c>
      <c r="H29" s="10" t="s">
        <v>4</v>
      </c>
      <c r="I29" s="1"/>
    </row>
    <row r="30" spans="1:9" x14ac:dyDescent="0.25">
      <c r="A30" s="1"/>
      <c r="B30" s="83" t="s">
        <v>87</v>
      </c>
      <c r="C30" s="84"/>
      <c r="D30" s="84"/>
      <c r="E30" s="84"/>
      <c r="F30" s="85"/>
      <c r="G30" s="33">
        <f>G29-G27+G29-G28</f>
        <v>-199143.32433333341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Tobias Bedstrup Eiberg</cp:lastModifiedBy>
  <cp:lastPrinted>2016-06-14T12:57:30Z</cp:lastPrinted>
  <dcterms:created xsi:type="dcterms:W3CDTF">2016-06-02T08:51:18Z</dcterms:created>
  <dcterms:modified xsi:type="dcterms:W3CDTF">2016-12-15T09:06:34Z</dcterms:modified>
</cp:coreProperties>
</file>