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5485" yWindow="30" windowWidth="20100" windowHeight="10575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G36" i="13"/>
  <c r="F31" i="11" l="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G23" i="12"/>
  <c r="E19" i="2" s="1"/>
  <c r="G17" i="12"/>
  <c r="E18" i="2" s="1"/>
  <c r="F11" i="11"/>
  <c r="F12" i="11"/>
  <c r="F13" i="11"/>
  <c r="F14" i="11"/>
  <c r="F32" i="11"/>
  <c r="F10" i="11"/>
  <c r="G13" i="10"/>
  <c r="E15" i="2" s="1"/>
  <c r="G15" i="2" s="1"/>
  <c r="G12" i="9"/>
  <c r="G14" i="9" s="1"/>
  <c r="G9" i="9"/>
  <c r="G11" i="9" s="1"/>
  <c r="G12" i="7"/>
  <c r="G18" i="4"/>
  <c r="E23" i="2"/>
  <c r="G23" i="2" s="1"/>
  <c r="E17" i="2"/>
  <c r="E11" i="4" l="1"/>
  <c r="E15" i="4"/>
  <c r="E10" i="4"/>
  <c r="E9" i="2"/>
  <c r="G9" i="8"/>
  <c r="G11" i="8" s="1"/>
  <c r="E11" i="2" s="1"/>
  <c r="F33" i="11"/>
  <c r="G29" i="12" s="1"/>
  <c r="G30" i="12" s="1"/>
  <c r="E20" i="2" s="1"/>
  <c r="E21" i="2" s="1"/>
  <c r="G21" i="2" s="1"/>
  <c r="E28" i="13"/>
  <c r="G28" i="13" s="1"/>
  <c r="G15" i="9"/>
  <c r="E12" i="2" s="1"/>
  <c r="E9" i="4" l="1"/>
  <c r="E13" i="2"/>
  <c r="G13" i="2" s="1"/>
  <c r="G24" i="2" s="1"/>
  <c r="E13" i="4" l="1"/>
  <c r="E14" i="4"/>
  <c r="E16" i="4" l="1"/>
  <c r="G16" i="4" s="1"/>
  <c r="G19" i="4" s="1"/>
</calcChain>
</file>

<file path=xl/sharedStrings.xml><?xml version="1.0" encoding="utf-8"?>
<sst xmlns="http://schemas.openxmlformats.org/spreadsheetml/2006/main" count="272" uniqueCount="131">
  <si>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</si>
  <si>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</si>
  <si>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</si>
  <si>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</si>
  <si>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</si>
  <si>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</si>
  <si>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</si>
  <si>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</si>
  <si>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</si>
  <si>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</si>
  <si>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</si>
  <si>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</si>
  <si>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</si>
  <si>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</si>
  <si>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</si>
  <si>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</si>
  <si>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</si>
  <si>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</si>
  <si>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</si>
  <si>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</si>
  <si>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</si>
  <si>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</si>
  <si>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</si>
  <si>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</si>
  <si>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</si>
  <si>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</si>
  <si>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</si>
  <si>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</si>
  <si>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</si>
  <si>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</si>
  <si>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</si>
  <si>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</si>
  <si>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</si>
  <si>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</si>
  <si>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</si>
  <si>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</si>
  <si>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</si>
  <si>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</si>
  <si>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</si>
  <si>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</si>
  <si>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</si>
  <si>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</si>
  <si>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</si>
  <si>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</si>
  <si>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</si>
  <si>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</si>
  <si>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</si>
  <si>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</si>
  <si>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</si>
  <si>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</si>
  <si>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</si>
  <si>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</si>
  <si>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</si>
  <si>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</si>
  <si>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</si>
  <si>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</si>
  <si>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</si>
  <si>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</si>
  <si>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</si>
  <si>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</si>
  <si>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</si>
  <si>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</si>
  <si>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</si>
  <si>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</si>
  <si>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</si>
  <si>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</si>
  <si>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</si>
  <si>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</si>
  <si>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</si>
  <si>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</si>
  <si>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</si>
  <si>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</si>
  <si>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</si>
  <si>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</si>
  <si>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</si>
  <si>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</si>
  <si>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</si>
  <si>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</si>
  <si>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</si>
  <si>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</si>
  <si>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</si>
  <si>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</si>
  <si>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</si>
  <si>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</si>
  <si>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</si>
  <si>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</si>
  <si>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</si>
  <si>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</si>
  <si>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</si>
  <si>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</si>
  <si>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</si>
  <si>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</si>
  <si>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</si>
  <si>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</si>
  <si>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</si>
  <si>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</si>
  <si>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</si>
  <si>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</si>
  <si>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</si>
  <si>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</si>
  <si>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</si>
  <si>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</si>
  <si>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</si>
  <si>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</si>
  <si>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</si>
  <si>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</si>
  <si>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</si>
  <si>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</si>
  <si>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</si>
  <si>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</si>
  <si>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</si>
  <si>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</si>
  <si>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</si>
  <si>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Ø 50mm &lt; Ledningsnet ≤ Ø110 mm</t>
  </si>
  <si>
    <t>Pumpestation (inkl. evt. hydrofor)/trykforøger, Mek./EL</t>
  </si>
  <si>
    <t>Ø110 mm &lt; Ledningsnet ≤ Ø 250 mm</t>
  </si>
  <si>
    <t>SRO-brønd/kvarterbrønd/sektionsbrønd, Mek./EL</t>
  </si>
  <si>
    <t>SRO-brønd/kvarterbrønd/sektionsbrønd, SRO</t>
  </si>
  <si>
    <t>Afregningsmålere, elektroniske ≤ Ø 110mm (Qn 10)</t>
  </si>
  <si>
    <t>Køretøjer, entreprenørmaskiner</t>
  </si>
  <si>
    <t>Køretøjer, små lastvogne (&lt; 3.500 kg.)</t>
  </si>
  <si>
    <t>Indretning af lokaler</t>
  </si>
  <si>
    <t>Forbedring bygninger</t>
  </si>
  <si>
    <t>Udpumpningsanlæg, rentvandspumper på vandværk</t>
  </si>
  <si>
    <t>Råvandsstation komplet montering og boringshus/tørbrønd</t>
  </si>
  <si>
    <t>Beluftningsanlæg, iltningstrappe, Kontruktioner</t>
  </si>
  <si>
    <t>Stik på ledningsnet, Konstruktioner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</si>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</sst>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8" t="s">
        <v>6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45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80" t="s">
        <v>47</v>
      </c>
      <c r="C9" s="81"/>
      <c r="D9" s="81"/>
      <c r="E9" s="81"/>
      <c r="F9" s="82"/>
      <c r="G9" s="35">
        <v>39970898</v>
      </c>
      <c r="H9" s="16" t="s">
        <v>4</v>
      </c>
      <c r="I9" s="1"/>
    </row>
    <row r="10" spans="1:9" x14ac:dyDescent="0.25">
      <c r="A10" s="1"/>
      <c r="B10" s="83" t="s">
        <v>48</v>
      </c>
      <c r="C10" s="84"/>
      <c r="D10" s="84"/>
      <c r="E10" s="84"/>
      <c r="F10" s="84"/>
      <c r="G10" s="84"/>
      <c r="H10" s="85"/>
      <c r="I10" s="1"/>
    </row>
    <row r="11" spans="1:9" x14ac:dyDescent="0.25">
      <c r="A11" s="1"/>
      <c r="B11" s="73" t="s">
        <v>49</v>
      </c>
      <c r="C11" s="74"/>
      <c r="D11" s="75"/>
      <c r="E11" s="37">
        <v>8753487</v>
      </c>
      <c r="F11" s="10" t="s">
        <v>4</v>
      </c>
      <c r="G11" s="19"/>
      <c r="H11" s="25"/>
      <c r="I11" s="1"/>
    </row>
    <row r="12" spans="1:9" x14ac:dyDescent="0.25">
      <c r="A12" s="1"/>
      <c r="B12" s="73" t="s">
        <v>50</v>
      </c>
      <c r="C12" s="74"/>
      <c r="D12" s="75"/>
      <c r="E12" s="37">
        <v>873563</v>
      </c>
      <c r="F12" s="10" t="s">
        <v>4</v>
      </c>
      <c r="G12" s="13"/>
      <c r="H12" s="26"/>
      <c r="I12" s="1"/>
    </row>
    <row r="13" spans="1:9" x14ac:dyDescent="0.25">
      <c r="A13" s="1"/>
      <c r="B13" s="73" t="s">
        <v>51</v>
      </c>
      <c r="C13" s="74"/>
      <c r="D13" s="75"/>
      <c r="E13" s="37">
        <v>-261876</v>
      </c>
      <c r="F13" s="10" t="s">
        <v>4</v>
      </c>
      <c r="G13" s="13"/>
      <c r="H13" s="26"/>
      <c r="I13" s="1"/>
    </row>
    <row r="14" spans="1:9" x14ac:dyDescent="0.25">
      <c r="A14" s="1"/>
      <c r="B14" s="73" t="s">
        <v>52</v>
      </c>
      <c r="C14" s="74"/>
      <c r="D14" s="75"/>
      <c r="E14" s="37">
        <v>811700</v>
      </c>
      <c r="F14" s="10" t="s">
        <v>4</v>
      </c>
      <c r="G14" s="13"/>
      <c r="H14" s="26"/>
      <c r="I14" s="1"/>
    </row>
    <row r="15" spans="1:9" x14ac:dyDescent="0.25">
      <c r="A15" s="1"/>
      <c r="B15" s="80" t="s">
        <v>53</v>
      </c>
      <c r="C15" s="81"/>
      <c r="D15" s="82"/>
      <c r="E15" s="32">
        <f>SUM(E11:E14)</f>
        <v>10176874</v>
      </c>
      <c r="F15" s="16" t="s">
        <v>4</v>
      </c>
      <c r="G15" s="13"/>
      <c r="H15" s="26"/>
      <c r="I15" s="1"/>
    </row>
    <row r="16" spans="1:9" x14ac:dyDescent="0.25">
      <c r="A16" s="1"/>
      <c r="B16" s="73" t="s">
        <v>54</v>
      </c>
      <c r="C16" s="74"/>
      <c r="D16" s="75"/>
      <c r="E16" s="37">
        <v>123784.41</v>
      </c>
      <c r="F16" s="10" t="s">
        <v>4</v>
      </c>
      <c r="G16" s="13"/>
      <c r="H16" s="26"/>
      <c r="I16" s="1"/>
    </row>
    <row r="17" spans="1:9" x14ac:dyDescent="0.25">
      <c r="A17" s="1"/>
      <c r="B17" s="73" t="s">
        <v>55</v>
      </c>
      <c r="C17" s="74"/>
      <c r="D17" s="75"/>
      <c r="E17" s="37">
        <v>65952</v>
      </c>
      <c r="F17" s="10" t="s">
        <v>4</v>
      </c>
      <c r="G17" s="13"/>
      <c r="H17" s="26"/>
      <c r="I17" s="1"/>
    </row>
    <row r="18" spans="1:9" x14ac:dyDescent="0.25">
      <c r="A18" s="1"/>
      <c r="B18" s="73" t="s">
        <v>56</v>
      </c>
      <c r="C18" s="74"/>
      <c r="D18" s="75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0" t="s">
        <v>57</v>
      </c>
      <c r="C19" s="81"/>
      <c r="D19" s="82"/>
      <c r="E19" s="32">
        <f>SUM(E16:E18)</f>
        <v>189736.41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0" t="s">
        <v>58</v>
      </c>
      <c r="C20" s="71"/>
      <c r="D20" s="72"/>
      <c r="E20" s="37">
        <v>-323813.76000000001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0" t="s">
        <v>59</v>
      </c>
      <c r="C21" s="71"/>
      <c r="D21" s="72"/>
      <c r="E21" s="37">
        <v>-15061548</v>
      </c>
      <c r="F21" s="10" t="s">
        <v>4</v>
      </c>
      <c r="G21" s="13"/>
      <c r="H21" s="26"/>
      <c r="I21" s="1"/>
    </row>
    <row r="22" spans="1:9" x14ac:dyDescent="0.25">
      <c r="A22" s="1"/>
      <c r="B22" s="73" t="s">
        <v>60</v>
      </c>
      <c r="C22" s="74"/>
      <c r="D22" s="75"/>
      <c r="E22" s="37">
        <v>0</v>
      </c>
      <c r="F22" s="10" t="s">
        <v>4</v>
      </c>
      <c r="G22" s="13"/>
      <c r="H22" s="26"/>
      <c r="I22" s="1"/>
    </row>
    <row r="23" spans="1:9" x14ac:dyDescent="0.25">
      <c r="A23" s="1"/>
      <c r="B23" s="73" t="s">
        <v>61</v>
      </c>
      <c r="C23" s="74"/>
      <c r="D23" s="75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0" t="s">
        <v>62</v>
      </c>
      <c r="C24" s="71"/>
      <c r="D24" s="72"/>
      <c r="E24" s="37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0" t="s">
        <v>63</v>
      </c>
      <c r="C25" s="71"/>
      <c r="D25" s="72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0" t="s">
        <v>64</v>
      </c>
      <c r="C26" s="71"/>
      <c r="D26" s="72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0" t="s">
        <v>65</v>
      </c>
      <c r="C27" s="81"/>
      <c r="D27" s="82"/>
      <c r="E27" s="32">
        <f>SUM(E20:E26)</f>
        <v>-15385361.76</v>
      </c>
      <c r="F27" s="16" t="s">
        <v>4</v>
      </c>
      <c r="G27" s="14"/>
      <c r="H27" s="27"/>
      <c r="I27" s="1"/>
    </row>
    <row r="28" spans="1:9" x14ac:dyDescent="0.25">
      <c r="A28" s="1"/>
      <c r="B28" s="80" t="s">
        <v>66</v>
      </c>
      <c r="C28" s="81"/>
      <c r="D28" s="82"/>
      <c r="E28" s="32">
        <f>E15+E19+E27</f>
        <v>-5018751.3499999996</v>
      </c>
      <c r="F28" s="16" t="s">
        <v>4</v>
      </c>
      <c r="G28" s="31">
        <f>IF(E28&lt;0,0,-E28)</f>
        <v>0</v>
      </c>
      <c r="H28" s="16" t="s">
        <v>4</v>
      </c>
      <c r="I28" s="1"/>
    </row>
    <row r="29" spans="1:9" x14ac:dyDescent="0.25">
      <c r="A29" s="1"/>
      <c r="B29" s="83" t="s">
        <v>67</v>
      </c>
      <c r="C29" s="84"/>
      <c r="D29" s="84"/>
      <c r="E29" s="84"/>
      <c r="F29" s="84"/>
      <c r="G29" s="84"/>
      <c r="H29" s="85"/>
      <c r="I29" s="1"/>
    </row>
    <row r="30" spans="1:9" x14ac:dyDescent="0.25">
      <c r="A30" s="1"/>
      <c r="B30" s="80" t="s">
        <v>67</v>
      </c>
      <c r="C30" s="81"/>
      <c r="D30" s="82"/>
      <c r="E30" s="35">
        <v>0</v>
      </c>
      <c r="F30" s="16" t="s">
        <v>4</v>
      </c>
      <c r="G30" s="32">
        <f>-$E$30</f>
        <v>0</v>
      </c>
      <c r="H30" s="16" t="s">
        <v>4</v>
      </c>
      <c r="I30" s="1"/>
    </row>
    <row r="31" spans="1:9" x14ac:dyDescent="0.25">
      <c r="A31" s="1"/>
      <c r="B31" s="99" t="s">
        <v>128</v>
      </c>
      <c r="C31" s="84"/>
      <c r="D31" s="84"/>
      <c r="E31" s="84"/>
      <c r="F31" s="84"/>
      <c r="G31" s="84"/>
      <c r="H31" s="85"/>
      <c r="I31" s="1"/>
    </row>
    <row r="32" spans="1:9" ht="30" customHeight="1" x14ac:dyDescent="0.25">
      <c r="A32" s="1"/>
      <c r="B32" s="70" t="s">
        <v>129</v>
      </c>
      <c r="C32" s="71"/>
      <c r="D32" s="72"/>
      <c r="E32" s="37">
        <v>39810087.520000003</v>
      </c>
      <c r="F32" s="10" t="s">
        <v>4</v>
      </c>
      <c r="G32" s="19"/>
      <c r="H32" s="25"/>
      <c r="I32" s="1"/>
    </row>
    <row r="33" spans="1:9" x14ac:dyDescent="0.25">
      <c r="A33" s="1"/>
      <c r="B33" s="73" t="s">
        <v>68</v>
      </c>
      <c r="C33" s="74"/>
      <c r="D33" s="75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0" t="s">
        <v>69</v>
      </c>
      <c r="C34" s="71"/>
      <c r="D34" s="72"/>
      <c r="E34" s="37">
        <v>465003</v>
      </c>
      <c r="F34" s="10" t="s">
        <v>4</v>
      </c>
      <c r="G34" s="14"/>
      <c r="H34" s="27"/>
      <c r="I34" s="1"/>
    </row>
    <row r="35" spans="1:9" x14ac:dyDescent="0.25">
      <c r="A35" s="1"/>
      <c r="B35" s="80" t="s">
        <v>70</v>
      </c>
      <c r="C35" s="81"/>
      <c r="D35" s="82"/>
      <c r="E35" s="32">
        <f>SUM(E32:E34)</f>
        <v>40275090.520000003</v>
      </c>
      <c r="F35" s="16" t="s">
        <v>4</v>
      </c>
      <c r="G35" s="32">
        <f>-E35</f>
        <v>-40275090.520000003</v>
      </c>
      <c r="H35" s="16" t="s">
        <v>4</v>
      </c>
      <c r="I35" s="1"/>
    </row>
    <row r="36" spans="1:9" x14ac:dyDescent="0.25">
      <c r="A36" s="1"/>
      <c r="B36" s="83" t="s">
        <v>46</v>
      </c>
      <c r="C36" s="84"/>
      <c r="D36" s="84"/>
      <c r="E36" s="84"/>
      <c r="F36" s="85"/>
      <c r="G36" s="33">
        <f>$G$9+$G$28+$G$30+$G$35</f>
        <v>-304192.52000000328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9" t="s">
        <v>130</v>
      </c>
      <c r="C3" s="69"/>
      <c r="D3" s="69"/>
      <c r="E3" s="69"/>
      <c r="F3" s="69"/>
      <c r="G3" s="69"/>
      <c r="H3" s="69"/>
      <c r="I3" s="1"/>
    </row>
    <row r="4" spans="1:9" ht="15" customHeight="1" x14ac:dyDescent="0.25">
      <c r="A4" s="1"/>
      <c r="B4" s="69"/>
      <c r="C4" s="69"/>
      <c r="D4" s="69"/>
      <c r="E4" s="69"/>
      <c r="F4" s="69"/>
      <c r="G4" s="69"/>
      <c r="H4" s="6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109</v>
      </c>
      <c r="C8" s="84"/>
      <c r="D8" s="84"/>
      <c r="E8" s="84"/>
      <c r="F8" s="84"/>
      <c r="G8" s="84"/>
      <c r="H8" s="85"/>
      <c r="I8" s="1"/>
    </row>
    <row r="9" spans="1:9" ht="30" customHeight="1" x14ac:dyDescent="0.25">
      <c r="A9" s="1"/>
      <c r="B9" s="70" t="s">
        <v>31</v>
      </c>
      <c r="C9" s="71"/>
      <c r="D9" s="72"/>
      <c r="E9" s="34">
        <f>'Fane 3. Grundlag'!G12</f>
        <v>40533488.791436411</v>
      </c>
      <c r="F9" s="7" t="s">
        <v>4</v>
      </c>
      <c r="G9" s="8"/>
      <c r="H9" s="9"/>
      <c r="I9" s="1"/>
    </row>
    <row r="10" spans="1:9" x14ac:dyDescent="0.25">
      <c r="A10" s="1"/>
      <c r="B10" s="79" t="s">
        <v>97</v>
      </c>
      <c r="C10" s="74"/>
      <c r="D10" s="75"/>
      <c r="E10" s="20">
        <f>'Fane 3. Grundlag'!G11</f>
        <v>13821904.929110585</v>
      </c>
      <c r="F10" s="7" t="s">
        <v>4</v>
      </c>
      <c r="G10" s="11"/>
      <c r="H10" s="12"/>
      <c r="I10" s="1"/>
    </row>
    <row r="11" spans="1:9" x14ac:dyDescent="0.25">
      <c r="A11" s="1"/>
      <c r="B11" s="73" t="s">
        <v>25</v>
      </c>
      <c r="C11" s="74"/>
      <c r="D11" s="75"/>
      <c r="E11" s="20">
        <f>'Fane 4. Individuelt eff.krav'!G11</f>
        <v>82997.421050412959</v>
      </c>
      <c r="F11" s="7" t="s">
        <v>4</v>
      </c>
      <c r="G11" s="13"/>
      <c r="H11" s="12"/>
      <c r="I11" s="1"/>
    </row>
    <row r="12" spans="1:9" x14ac:dyDescent="0.25">
      <c r="A12" s="1"/>
      <c r="B12" s="73" t="s">
        <v>26</v>
      </c>
      <c r="C12" s="74"/>
      <c r="D12" s="75"/>
      <c r="E12" s="20">
        <f>'Fane 5. Generelt eff.krav'!G15</f>
        <v>405939.35292908747</v>
      </c>
      <c r="F12" s="7" t="s">
        <v>4</v>
      </c>
      <c r="G12" s="14"/>
      <c r="H12" s="15"/>
      <c r="I12" s="1"/>
    </row>
    <row r="13" spans="1:9" x14ac:dyDescent="0.25">
      <c r="A13" s="1"/>
      <c r="B13" s="80" t="s">
        <v>43</v>
      </c>
      <c r="C13" s="81"/>
      <c r="D13" s="82"/>
      <c r="E13" s="32">
        <f>$E$9-$E$11-$E$12</f>
        <v>40044552.017456912</v>
      </c>
      <c r="F13" s="17" t="s">
        <v>4</v>
      </c>
      <c r="G13" s="32">
        <f>E13</f>
        <v>40044552.017456912</v>
      </c>
      <c r="H13" s="17" t="s">
        <v>4</v>
      </c>
      <c r="I13" s="1"/>
    </row>
    <row r="14" spans="1:9" x14ac:dyDescent="0.25">
      <c r="A14" s="1"/>
      <c r="B14" s="83" t="s">
        <v>32</v>
      </c>
      <c r="C14" s="84"/>
      <c r="D14" s="84"/>
      <c r="E14" s="84"/>
      <c r="F14" s="84"/>
      <c r="G14" s="84"/>
      <c r="H14" s="85"/>
      <c r="I14" s="1"/>
    </row>
    <row r="15" spans="1:9" x14ac:dyDescent="0.25">
      <c r="A15" s="1"/>
      <c r="B15" s="76" t="s">
        <v>108</v>
      </c>
      <c r="C15" s="77"/>
      <c r="D15" s="78"/>
      <c r="E15" s="32">
        <f>'Fane 6. Hist. over el. underdæk'!G13</f>
        <v>1182056</v>
      </c>
      <c r="F15" s="17" t="s">
        <v>4</v>
      </c>
      <c r="G15" s="32">
        <f>E15</f>
        <v>1182056</v>
      </c>
      <c r="H15" s="17" t="s">
        <v>4</v>
      </c>
      <c r="I15" s="1"/>
    </row>
    <row r="16" spans="1:9" x14ac:dyDescent="0.25">
      <c r="A16" s="1"/>
      <c r="B16" s="83" t="s">
        <v>28</v>
      </c>
      <c r="C16" s="84"/>
      <c r="D16" s="84"/>
      <c r="E16" s="84"/>
      <c r="F16" s="84"/>
      <c r="G16" s="84"/>
      <c r="H16" s="85"/>
      <c r="I16" s="1"/>
    </row>
    <row r="17" spans="1:9" x14ac:dyDescent="0.25">
      <c r="A17" s="1"/>
      <c r="B17" s="70" t="s">
        <v>35</v>
      </c>
      <c r="C17" s="71"/>
      <c r="D17" s="72"/>
      <c r="E17" s="20">
        <f>'Fane 8. Korrektion af PL2015'!G11</f>
        <v>97418.509999999776</v>
      </c>
      <c r="F17" s="7" t="s">
        <v>4</v>
      </c>
      <c r="G17" s="19"/>
      <c r="H17" s="9"/>
      <c r="I17" s="1"/>
    </row>
    <row r="18" spans="1:9" x14ac:dyDescent="0.25">
      <c r="A18" s="1"/>
      <c r="B18" s="70" t="s">
        <v>36</v>
      </c>
      <c r="C18" s="71"/>
      <c r="D18" s="72"/>
      <c r="E18" s="20">
        <f>'Fane 8. Korrektion af PL2015'!G17</f>
        <v>-27782.599999999977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0" t="s">
        <v>98</v>
      </c>
      <c r="C19" s="71"/>
      <c r="D19" s="72"/>
      <c r="E19" s="20">
        <f>'Fane 8. Korrektion af PL2015'!G23</f>
        <v>262418.65000000002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0" t="s">
        <v>37</v>
      </c>
      <c r="C20" s="71"/>
      <c r="D20" s="72"/>
      <c r="E20" s="20">
        <f>'Fane 8. Korrektion af PL2015'!G30</f>
        <v>126423.32139999978</v>
      </c>
      <c r="F20" s="7" t="s">
        <v>4</v>
      </c>
      <c r="G20" s="14"/>
      <c r="H20" s="15"/>
      <c r="I20" s="1"/>
    </row>
    <row r="21" spans="1:9" x14ac:dyDescent="0.25">
      <c r="A21" s="1"/>
      <c r="B21" s="76" t="s">
        <v>38</v>
      </c>
      <c r="C21" s="77"/>
      <c r="D21" s="78"/>
      <c r="E21" s="32">
        <f>SUM(E17:E20)</f>
        <v>458477.88139999961</v>
      </c>
      <c r="F21" s="17" t="s">
        <v>4</v>
      </c>
      <c r="G21" s="32">
        <f>E21</f>
        <v>458477.88139999961</v>
      </c>
      <c r="H21" s="17" t="s">
        <v>4</v>
      </c>
      <c r="I21" s="1"/>
    </row>
    <row r="22" spans="1:9" x14ac:dyDescent="0.25">
      <c r="A22" s="1"/>
      <c r="B22" s="83" t="s">
        <v>33</v>
      </c>
      <c r="C22" s="84"/>
      <c r="D22" s="84"/>
      <c r="E22" s="84"/>
      <c r="F22" s="84"/>
      <c r="G22" s="84"/>
      <c r="H22" s="85"/>
      <c r="I22" s="1"/>
    </row>
    <row r="23" spans="1:9" x14ac:dyDescent="0.25">
      <c r="A23" s="1"/>
      <c r="B23" s="76" t="s">
        <v>34</v>
      </c>
      <c r="C23" s="77"/>
      <c r="D23" s="78"/>
      <c r="E23" s="32">
        <f>'Fane 9. Kontrol af PL2015'!G36</f>
        <v>-304192.52000000328</v>
      </c>
      <c r="F23" s="17" t="s">
        <v>4</v>
      </c>
      <c r="G23" s="32">
        <f>E23</f>
        <v>-304192.52000000328</v>
      </c>
      <c r="H23" s="17" t="s">
        <v>4</v>
      </c>
      <c r="I23" s="1"/>
    </row>
    <row r="24" spans="1:9" x14ac:dyDescent="0.25">
      <c r="A24" s="1"/>
      <c r="B24" s="83" t="s">
        <v>39</v>
      </c>
      <c r="C24" s="84"/>
      <c r="D24" s="84"/>
      <c r="E24" s="84"/>
      <c r="F24" s="85"/>
      <c r="G24" s="33">
        <f>G13+G15+G21+G23</f>
        <v>41380893.378856905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9" t="s">
        <v>10</v>
      </c>
      <c r="C3" s="69"/>
      <c r="D3" s="69"/>
      <c r="E3" s="69"/>
      <c r="F3" s="69"/>
      <c r="G3" s="69"/>
      <c r="H3" s="69"/>
      <c r="I3" s="1"/>
    </row>
    <row r="4" spans="1:9" ht="15" customHeight="1" x14ac:dyDescent="0.25">
      <c r="A4" s="1"/>
      <c r="B4" s="69"/>
      <c r="C4" s="69"/>
      <c r="D4" s="69"/>
      <c r="E4" s="69"/>
      <c r="F4" s="69"/>
      <c r="G4" s="69"/>
      <c r="H4" s="6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109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70" t="s">
        <v>40</v>
      </c>
      <c r="C9" s="71"/>
      <c r="D9" s="72"/>
      <c r="E9" s="36">
        <f>'Fane 2.1. Økonomisk ramme 2017'!$E$9-'Fane 2.1. Økonomisk ramme 2017'!$E$11-'Fane 2.1. Økonomisk ramme 2017'!$E$12</f>
        <v>40044552.017456912</v>
      </c>
      <c r="F9" s="7" t="s">
        <v>4</v>
      </c>
      <c r="G9" s="8"/>
      <c r="H9" s="9"/>
      <c r="I9" s="1"/>
    </row>
    <row r="10" spans="1:9" x14ac:dyDescent="0.25">
      <c r="A10" s="1"/>
      <c r="B10" s="79" t="s">
        <v>110</v>
      </c>
      <c r="C10" s="86"/>
      <c r="D10" s="87"/>
      <c r="E10" s="37">
        <f>'Fane 3. Grundlag'!$G$9*(1-'Fane 4. Individuelt eff.krav'!$G$10/100)-'Fane 5. Generelt eff.krav'!G$11</f>
        <v>14596386.706922268</v>
      </c>
      <c r="F10" s="7" t="s">
        <v>4</v>
      </c>
      <c r="G10" s="11"/>
      <c r="H10" s="12"/>
      <c r="I10" s="1"/>
    </row>
    <row r="11" spans="1:9" x14ac:dyDescent="0.25">
      <c r="A11" s="1"/>
      <c r="B11" s="79" t="s">
        <v>111</v>
      </c>
      <c r="C11" s="86"/>
      <c r="D11" s="87"/>
      <c r="E11" s="37">
        <f>'Fane 3. Grundlag'!$G$10*(1-'Fane 4. Individuelt eff.krav'!$G$10/100)-'Fane 5. Generelt eff.krav'!G$14</f>
        <v>11626260.381424053</v>
      </c>
      <c r="F11" s="7" t="s">
        <v>4</v>
      </c>
      <c r="G11" s="11"/>
      <c r="H11" s="12"/>
      <c r="I11" s="1"/>
    </row>
    <row r="12" spans="1:9" x14ac:dyDescent="0.25">
      <c r="A12" s="1"/>
      <c r="B12" s="79" t="s">
        <v>97</v>
      </c>
      <c r="C12" s="86"/>
      <c r="D12" s="87"/>
      <c r="E12" s="37">
        <f>'Fane 2.1. Økonomisk ramme 2017'!$E$10</f>
        <v>13821904.929110585</v>
      </c>
      <c r="F12" s="7" t="s">
        <v>4</v>
      </c>
      <c r="G12" s="11"/>
      <c r="H12" s="12"/>
      <c r="I12" s="1"/>
    </row>
    <row r="13" spans="1:9" x14ac:dyDescent="0.25">
      <c r="A13" s="1"/>
      <c r="B13" s="73" t="s">
        <v>41</v>
      </c>
      <c r="C13" s="74"/>
      <c r="D13" s="75"/>
      <c r="E13" s="37">
        <f>$E$9*0.0127</f>
        <v>508565.81062170275</v>
      </c>
      <c r="F13" s="7" t="s">
        <v>4</v>
      </c>
      <c r="G13" s="13"/>
      <c r="H13" s="12"/>
      <c r="I13" s="1"/>
    </row>
    <row r="14" spans="1:9" x14ac:dyDescent="0.25">
      <c r="A14" s="1"/>
      <c r="B14" s="73" t="s">
        <v>25</v>
      </c>
      <c r="C14" s="74"/>
      <c r="D14" s="75"/>
      <c r="E14" s="37">
        <f>('Fane 2.2. Økonomisk ramme 2018'!$E$9-'Fane 2.2. Økonomisk ramme 2018'!$E$12)*1.0127*'Fane 4. Individuelt eff.krav'!$G$10/100</f>
        <v>82512.984862378813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404055.17395227111</v>
      </c>
      <c r="F15" s="7" t="s">
        <v>4</v>
      </c>
      <c r="G15" s="14"/>
      <c r="H15" s="15"/>
      <c r="I15" s="1"/>
    </row>
    <row r="16" spans="1:9" x14ac:dyDescent="0.25">
      <c r="A16" s="1"/>
      <c r="B16" s="80" t="s">
        <v>43</v>
      </c>
      <c r="C16" s="81"/>
      <c r="D16" s="82"/>
      <c r="E16" s="32">
        <f>$E$9+$E$13-$E$14-$E$15</f>
        <v>40066549.669263959</v>
      </c>
      <c r="F16" s="17" t="s">
        <v>4</v>
      </c>
      <c r="G16" s="32">
        <f>E16</f>
        <v>40066549.669263959</v>
      </c>
      <c r="H16" s="17" t="s">
        <v>4</v>
      </c>
      <c r="I16" s="1"/>
    </row>
    <row r="17" spans="1:9" x14ac:dyDescent="0.25">
      <c r="A17" s="1"/>
      <c r="B17" s="83" t="s">
        <v>32</v>
      </c>
      <c r="C17" s="84"/>
      <c r="D17" s="84"/>
      <c r="E17" s="84"/>
      <c r="F17" s="84"/>
      <c r="G17" s="84"/>
      <c r="H17" s="85"/>
      <c r="I17" s="1"/>
    </row>
    <row r="18" spans="1:9" ht="15" customHeight="1" x14ac:dyDescent="0.25">
      <c r="A18" s="1"/>
      <c r="B18" s="76" t="s">
        <v>108</v>
      </c>
      <c r="C18" s="77"/>
      <c r="D18" s="78"/>
      <c r="E18" s="35">
        <f>IF('Fane 6. Hist. over el. underdæk'!$G$12&gt;1,'Fane 6. Hist. over el. underdæk'!$G$13,0)</f>
        <v>1182056</v>
      </c>
      <c r="F18" s="17" t="s">
        <v>4</v>
      </c>
      <c r="G18" s="32">
        <f>E18</f>
        <v>1182056</v>
      </c>
      <c r="H18" s="17" t="s">
        <v>4</v>
      </c>
      <c r="I18" s="1"/>
    </row>
    <row r="19" spans="1:9" x14ac:dyDescent="0.25">
      <c r="A19" s="1"/>
      <c r="B19" s="83" t="s">
        <v>42</v>
      </c>
      <c r="C19" s="84"/>
      <c r="D19" s="84"/>
      <c r="E19" s="84"/>
      <c r="F19" s="85"/>
      <c r="G19" s="33">
        <f>G16+G18</f>
        <v>41248605.669263959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9" t="s">
        <v>9</v>
      </c>
      <c r="C3" s="69"/>
      <c r="D3" s="69"/>
      <c r="E3" s="69"/>
      <c r="F3" s="69"/>
      <c r="G3" s="69"/>
      <c r="H3" s="69"/>
      <c r="I3" s="1"/>
    </row>
    <row r="4" spans="1:9" ht="15" customHeight="1" x14ac:dyDescent="0.25">
      <c r="A4" s="1"/>
      <c r="B4" s="69"/>
      <c r="C4" s="69"/>
      <c r="D4" s="69"/>
      <c r="E4" s="69"/>
      <c r="F4" s="69"/>
      <c r="G4" s="69"/>
      <c r="H4" s="6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44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73" t="s">
        <v>99</v>
      </c>
      <c r="C9" s="74"/>
      <c r="D9" s="74"/>
      <c r="E9" s="74"/>
      <c r="F9" s="75"/>
      <c r="G9" s="37">
        <v>14941645.85155252</v>
      </c>
      <c r="H9" s="10" t="s">
        <v>4</v>
      </c>
      <c r="I9" s="1"/>
    </row>
    <row r="10" spans="1:9" x14ac:dyDescent="0.25">
      <c r="A10" s="1"/>
      <c r="B10" s="73" t="s">
        <v>100</v>
      </c>
      <c r="C10" s="74"/>
      <c r="D10" s="74"/>
      <c r="E10" s="74"/>
      <c r="F10" s="75"/>
      <c r="G10" s="37">
        <v>11769938.010773303</v>
      </c>
      <c r="H10" s="10" t="s">
        <v>4</v>
      </c>
      <c r="I10" s="1"/>
    </row>
    <row r="11" spans="1:9" x14ac:dyDescent="0.25">
      <c r="A11" s="1"/>
      <c r="B11" s="73" t="s">
        <v>101</v>
      </c>
      <c r="C11" s="74"/>
      <c r="D11" s="74"/>
      <c r="E11" s="74"/>
      <c r="F11" s="75"/>
      <c r="G11" s="37">
        <v>13821904.929110585</v>
      </c>
      <c r="H11" s="10" t="s">
        <v>4</v>
      </c>
      <c r="I11" s="1"/>
    </row>
    <row r="12" spans="1:9" x14ac:dyDescent="0.25">
      <c r="A12" s="1"/>
      <c r="B12" s="83" t="s">
        <v>44</v>
      </c>
      <c r="C12" s="84"/>
      <c r="D12" s="84"/>
      <c r="E12" s="84"/>
      <c r="F12" s="85"/>
      <c r="G12" s="33">
        <f>SUM(G9:G11)</f>
        <v>40533488.791436411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9" t="s">
        <v>27</v>
      </c>
      <c r="C3" s="69"/>
      <c r="D3" s="69"/>
      <c r="E3" s="69"/>
      <c r="F3" s="69"/>
      <c r="G3" s="69"/>
      <c r="H3" s="69"/>
      <c r="I3" s="1"/>
    </row>
    <row r="4" spans="1:9" ht="15" customHeight="1" x14ac:dyDescent="0.25">
      <c r="A4" s="1"/>
      <c r="B4" s="69"/>
      <c r="C4" s="69"/>
      <c r="D4" s="69"/>
      <c r="E4" s="69"/>
      <c r="F4" s="69"/>
      <c r="G4" s="69"/>
      <c r="H4" s="6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25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73" t="s">
        <v>103</v>
      </c>
      <c r="C9" s="74"/>
      <c r="D9" s="74"/>
      <c r="E9" s="74"/>
      <c r="F9" s="75"/>
      <c r="G9" s="20">
        <f>'Fane 3. Grundlag'!G12-'Fane 3. Grundlag'!G11</f>
        <v>26711583.862325825</v>
      </c>
      <c r="H9" s="10" t="s">
        <v>4</v>
      </c>
      <c r="I9" s="1"/>
    </row>
    <row r="10" spans="1:9" x14ac:dyDescent="0.25">
      <c r="A10" s="1"/>
      <c r="B10" s="73" t="s">
        <v>71</v>
      </c>
      <c r="C10" s="74"/>
      <c r="D10" s="74"/>
      <c r="E10" s="74"/>
      <c r="F10" s="75"/>
      <c r="G10" s="44">
        <v>0.31071695889764517</v>
      </c>
      <c r="H10" s="10" t="s">
        <v>72</v>
      </c>
      <c r="I10" s="1"/>
    </row>
    <row r="11" spans="1:9" x14ac:dyDescent="0.25">
      <c r="A11" s="1"/>
      <c r="B11" s="83" t="s">
        <v>25</v>
      </c>
      <c r="C11" s="84"/>
      <c r="D11" s="84"/>
      <c r="E11" s="84"/>
      <c r="F11" s="85"/>
      <c r="G11" s="33">
        <f>$G$9*$G$10/100</f>
        <v>82997.421050412959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9" t="s">
        <v>8</v>
      </c>
      <c r="C3" s="69"/>
      <c r="D3" s="69"/>
      <c r="E3" s="69"/>
      <c r="F3" s="69"/>
      <c r="G3" s="69"/>
      <c r="H3" s="69"/>
      <c r="I3" s="1"/>
    </row>
    <row r="4" spans="1:9" ht="15" customHeight="1" x14ac:dyDescent="0.25">
      <c r="A4" s="1"/>
      <c r="B4" s="69"/>
      <c r="C4" s="69"/>
      <c r="D4" s="69"/>
      <c r="E4" s="69"/>
      <c r="F4" s="69"/>
      <c r="G4" s="69"/>
      <c r="H4" s="6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105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14941645.85155252</v>
      </c>
      <c r="H9" s="10" t="s">
        <v>4</v>
      </c>
      <c r="I9" s="1"/>
    </row>
    <row r="10" spans="1:9" x14ac:dyDescent="0.25">
      <c r="A10" s="1"/>
      <c r="B10" s="73" t="s">
        <v>26</v>
      </c>
      <c r="C10" s="74"/>
      <c r="D10" s="74"/>
      <c r="E10" s="74"/>
      <c r="F10" s="75"/>
      <c r="G10" s="42">
        <f>2</f>
        <v>2</v>
      </c>
      <c r="H10" s="10" t="s">
        <v>72</v>
      </c>
      <c r="I10" s="1"/>
    </row>
    <row r="11" spans="1:9" x14ac:dyDescent="0.25">
      <c r="A11" s="1"/>
      <c r="B11" s="80" t="s">
        <v>73</v>
      </c>
      <c r="C11" s="81"/>
      <c r="D11" s="81"/>
      <c r="E11" s="81"/>
      <c r="F11" s="82"/>
      <c r="G11" s="32">
        <f>$G$9*$G$10/100</f>
        <v>298832.91703105043</v>
      </c>
      <c r="H11" s="16" t="s">
        <v>4</v>
      </c>
      <c r="I11" s="1"/>
    </row>
    <row r="12" spans="1:9" x14ac:dyDescent="0.25">
      <c r="A12" s="1"/>
      <c r="B12" s="73" t="s">
        <v>100</v>
      </c>
      <c r="C12" s="74"/>
      <c r="D12" s="74"/>
      <c r="E12" s="74"/>
      <c r="F12" s="75"/>
      <c r="G12" s="20">
        <f>'Fane 3. Grundlag'!G10</f>
        <v>11769938.010773303</v>
      </c>
      <c r="H12" s="10" t="s">
        <v>4</v>
      </c>
      <c r="I12" s="1"/>
    </row>
    <row r="13" spans="1:9" x14ac:dyDescent="0.25">
      <c r="A13" s="1"/>
      <c r="B13" s="73" t="s">
        <v>26</v>
      </c>
      <c r="C13" s="74"/>
      <c r="D13" s="74"/>
      <c r="E13" s="74"/>
      <c r="F13" s="75"/>
      <c r="G13" s="43">
        <f>0.91</f>
        <v>0.91</v>
      </c>
      <c r="H13" s="10" t="s">
        <v>72</v>
      </c>
      <c r="I13" s="1"/>
    </row>
    <row r="14" spans="1:9" x14ac:dyDescent="0.25">
      <c r="A14" s="1"/>
      <c r="B14" s="80" t="s">
        <v>74</v>
      </c>
      <c r="C14" s="81"/>
      <c r="D14" s="81"/>
      <c r="E14" s="81"/>
      <c r="F14" s="82"/>
      <c r="G14" s="32">
        <f>$G$12*$G$13/100</f>
        <v>107106.43589803707</v>
      </c>
      <c r="H14" s="16" t="s">
        <v>4</v>
      </c>
      <c r="I14" s="1"/>
    </row>
    <row r="15" spans="1:9" x14ac:dyDescent="0.25">
      <c r="A15" s="1"/>
      <c r="B15" s="83" t="s">
        <v>104</v>
      </c>
      <c r="C15" s="84"/>
      <c r="D15" s="84"/>
      <c r="E15" s="84"/>
      <c r="F15" s="85"/>
      <c r="G15" s="33">
        <f>G11+G14</f>
        <v>405939.35292908747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4" max="4" width="15.140625" customWidth="1"/>
    <col min="6" max="6" width="14.140625" customWidth="1"/>
    <col min="7" max="7" width="9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9" t="s">
        <v>106</v>
      </c>
      <c r="C3" s="69"/>
      <c r="D3" s="69"/>
      <c r="E3" s="69"/>
      <c r="F3" s="69"/>
      <c r="G3" s="69"/>
      <c r="H3" s="69"/>
      <c r="I3" s="1"/>
    </row>
    <row r="4" spans="1:9" ht="15" customHeight="1" x14ac:dyDescent="0.25">
      <c r="A4" s="1"/>
      <c r="B4" s="69"/>
      <c r="C4" s="69"/>
      <c r="D4" s="69"/>
      <c r="E4" s="69"/>
      <c r="F4" s="69"/>
      <c r="G4" s="69"/>
      <c r="H4" s="6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107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73" t="s">
        <v>76</v>
      </c>
      <c r="C9" s="74"/>
      <c r="D9" s="74"/>
      <c r="E9" s="74"/>
      <c r="F9" s="75"/>
      <c r="G9" s="37">
        <v>12026468</v>
      </c>
      <c r="H9" s="10" t="s">
        <v>4</v>
      </c>
      <c r="I9" s="1"/>
    </row>
    <row r="10" spans="1:9" x14ac:dyDescent="0.25">
      <c r="A10" s="1"/>
      <c r="B10" s="73" t="s">
        <v>77</v>
      </c>
      <c r="C10" s="74"/>
      <c r="D10" s="74"/>
      <c r="E10" s="74"/>
      <c r="F10" s="75"/>
      <c r="G10" s="37">
        <v>7298244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4728224</v>
      </c>
      <c r="H11" s="23" t="s">
        <v>4</v>
      </c>
      <c r="I11" s="1"/>
    </row>
    <row r="12" spans="1:9" x14ac:dyDescent="0.25">
      <c r="A12" s="1"/>
      <c r="B12" s="73" t="s">
        <v>78</v>
      </c>
      <c r="C12" s="74"/>
      <c r="D12" s="74"/>
      <c r="E12" s="74"/>
      <c r="F12" s="75"/>
      <c r="G12" s="37">
        <v>4</v>
      </c>
      <c r="H12" s="10" t="s">
        <v>4</v>
      </c>
      <c r="I12" s="1"/>
    </row>
    <row r="13" spans="1:9" x14ac:dyDescent="0.25">
      <c r="A13" s="1"/>
      <c r="B13" s="83" t="s">
        <v>75</v>
      </c>
      <c r="C13" s="84"/>
      <c r="D13" s="84"/>
      <c r="E13" s="84"/>
      <c r="F13" s="85"/>
      <c r="G13" s="33">
        <f>G11/G12</f>
        <v>1182056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5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69" t="s">
        <v>30</v>
      </c>
      <c r="C3" s="69"/>
      <c r="D3" s="69"/>
      <c r="E3" s="69"/>
      <c r="F3" s="69"/>
      <c r="G3" s="69"/>
      <c r="H3" s="1"/>
    </row>
    <row r="4" spans="1:8" ht="15" customHeight="1" x14ac:dyDescent="0.25">
      <c r="A4" s="1"/>
      <c r="B4" s="69"/>
      <c r="C4" s="69"/>
      <c r="D4" s="69"/>
      <c r="E4" s="69"/>
      <c r="F4" s="69"/>
      <c r="G4" s="69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83" t="s">
        <v>5</v>
      </c>
      <c r="C8" s="84"/>
      <c r="D8" s="84"/>
      <c r="E8" s="84"/>
      <c r="F8" s="84"/>
      <c r="G8" s="85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75</v>
      </c>
      <c r="E10" s="37">
        <v>320459.86</v>
      </c>
      <c r="F10" s="20">
        <f>E10/D10</f>
        <v>4272.7981333333328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25</v>
      </c>
      <c r="E11" s="37">
        <v>284554.28999999998</v>
      </c>
      <c r="F11" s="20">
        <f t="shared" ref="F11:F32" si="0">E11/D11</f>
        <v>11382.1716</v>
      </c>
      <c r="G11" s="10" t="s">
        <v>4</v>
      </c>
      <c r="H11" s="1"/>
    </row>
    <row r="12" spans="1:8" x14ac:dyDescent="0.25">
      <c r="A12" s="1"/>
      <c r="B12" s="41" t="s">
        <v>115</v>
      </c>
      <c r="C12" s="39">
        <v>2015</v>
      </c>
      <c r="D12" s="39">
        <v>75</v>
      </c>
      <c r="E12" s="37">
        <v>4055360.1</v>
      </c>
      <c r="F12" s="20">
        <f t="shared" si="0"/>
        <v>54071.468000000001</v>
      </c>
      <c r="G12" s="10" t="s">
        <v>4</v>
      </c>
      <c r="H12" s="1"/>
    </row>
    <row r="13" spans="1:8" x14ac:dyDescent="0.25">
      <c r="A13" s="1"/>
      <c r="B13" s="41" t="s">
        <v>116</v>
      </c>
      <c r="C13" s="39">
        <v>2015</v>
      </c>
      <c r="D13" s="39">
        <v>15</v>
      </c>
      <c r="E13" s="37">
        <v>235078.83</v>
      </c>
      <c r="F13" s="20">
        <f t="shared" si="0"/>
        <v>15671.921999999999</v>
      </c>
      <c r="G13" s="10" t="s">
        <v>4</v>
      </c>
      <c r="H13" s="1"/>
    </row>
    <row r="14" spans="1:8" x14ac:dyDescent="0.25">
      <c r="A14" s="1"/>
      <c r="B14" s="41" t="s">
        <v>117</v>
      </c>
      <c r="C14" s="39">
        <v>2015</v>
      </c>
      <c r="D14" s="39">
        <v>10</v>
      </c>
      <c r="E14" s="37">
        <v>132861.13</v>
      </c>
      <c r="F14" s="20">
        <f t="shared" si="0"/>
        <v>13286.113000000001</v>
      </c>
      <c r="G14" s="10" t="s">
        <v>4</v>
      </c>
      <c r="H14" s="1"/>
    </row>
    <row r="15" spans="1:8" x14ac:dyDescent="0.25">
      <c r="A15" s="1"/>
      <c r="B15" s="41" t="s">
        <v>118</v>
      </c>
      <c r="C15" s="39">
        <v>2015</v>
      </c>
      <c r="D15" s="39">
        <v>10</v>
      </c>
      <c r="E15" s="37">
        <v>243539.88</v>
      </c>
      <c r="F15" s="20">
        <f t="shared" si="0"/>
        <v>24353.988000000001</v>
      </c>
      <c r="G15" s="10" t="s">
        <v>4</v>
      </c>
      <c r="H15" s="1"/>
    </row>
    <row r="16" spans="1:8" x14ac:dyDescent="0.25">
      <c r="A16" s="1"/>
      <c r="B16" s="41" t="s">
        <v>115</v>
      </c>
      <c r="C16" s="39">
        <v>2015</v>
      </c>
      <c r="D16" s="39">
        <v>75</v>
      </c>
      <c r="E16" s="37">
        <v>3749000</v>
      </c>
      <c r="F16" s="20">
        <f t="shared" si="0"/>
        <v>49986.666666666664</v>
      </c>
      <c r="G16" s="10" t="s">
        <v>4</v>
      </c>
      <c r="H16" s="1"/>
    </row>
    <row r="17" spans="1:8" x14ac:dyDescent="0.25">
      <c r="A17" s="1"/>
      <c r="B17" s="41" t="s">
        <v>119</v>
      </c>
      <c r="C17" s="39">
        <v>2015</v>
      </c>
      <c r="D17" s="39">
        <v>5</v>
      </c>
      <c r="E17" s="37">
        <v>236021</v>
      </c>
      <c r="F17" s="20">
        <f t="shared" si="0"/>
        <v>47204.2</v>
      </c>
      <c r="G17" s="10" t="s">
        <v>4</v>
      </c>
      <c r="H17" s="1"/>
    </row>
    <row r="18" spans="1:8" x14ac:dyDescent="0.25">
      <c r="A18" s="1"/>
      <c r="B18" s="41" t="s">
        <v>120</v>
      </c>
      <c r="C18" s="39">
        <v>2015</v>
      </c>
      <c r="D18" s="39">
        <v>5</v>
      </c>
      <c r="E18" s="37">
        <v>929517.02</v>
      </c>
      <c r="F18" s="20">
        <f t="shared" si="0"/>
        <v>185903.40400000001</v>
      </c>
      <c r="G18" s="10" t="s">
        <v>4</v>
      </c>
      <c r="H18" s="1"/>
    </row>
    <row r="19" spans="1:8" x14ac:dyDescent="0.25">
      <c r="A19" s="1"/>
      <c r="B19" s="41" t="s">
        <v>117</v>
      </c>
      <c r="C19" s="39">
        <v>2015</v>
      </c>
      <c r="D19" s="39">
        <v>10</v>
      </c>
      <c r="E19" s="37">
        <v>70446.7</v>
      </c>
      <c r="F19" s="20">
        <f t="shared" si="0"/>
        <v>7044.67</v>
      </c>
      <c r="G19" s="10" t="s">
        <v>4</v>
      </c>
      <c r="H19" s="1"/>
    </row>
    <row r="20" spans="1:8" x14ac:dyDescent="0.25">
      <c r="A20" s="1"/>
      <c r="B20" s="41" t="s">
        <v>121</v>
      </c>
      <c r="C20" s="39">
        <v>2015</v>
      </c>
      <c r="D20" s="39">
        <v>10</v>
      </c>
      <c r="E20" s="37">
        <v>111000</v>
      </c>
      <c r="F20" s="20">
        <f t="shared" si="0"/>
        <v>11100</v>
      </c>
      <c r="G20" s="10" t="s">
        <v>4</v>
      </c>
      <c r="H20" s="1"/>
    </row>
    <row r="21" spans="1:8" x14ac:dyDescent="0.25">
      <c r="A21" s="1"/>
      <c r="B21" s="41" t="s">
        <v>122</v>
      </c>
      <c r="C21" s="39">
        <v>2015</v>
      </c>
      <c r="D21" s="39">
        <v>10</v>
      </c>
      <c r="E21" s="37">
        <v>28840</v>
      </c>
      <c r="F21" s="20">
        <f t="shared" si="0"/>
        <v>2884</v>
      </c>
      <c r="G21" s="10" t="s">
        <v>4</v>
      </c>
      <c r="H21" s="1"/>
    </row>
    <row r="22" spans="1:8" x14ac:dyDescent="0.25">
      <c r="A22" s="1"/>
      <c r="B22" s="41" t="s">
        <v>122</v>
      </c>
      <c r="C22" s="39">
        <v>2015</v>
      </c>
      <c r="D22" s="39">
        <v>20</v>
      </c>
      <c r="E22" s="37">
        <v>161671</v>
      </c>
      <c r="F22" s="20">
        <f t="shared" si="0"/>
        <v>8083.55</v>
      </c>
      <c r="G22" s="10" t="s">
        <v>4</v>
      </c>
      <c r="H22" s="1"/>
    </row>
    <row r="23" spans="1:8" x14ac:dyDescent="0.25">
      <c r="A23" s="1"/>
      <c r="B23" s="41" t="s">
        <v>123</v>
      </c>
      <c r="C23" s="39">
        <v>2015</v>
      </c>
      <c r="D23" s="39">
        <v>10</v>
      </c>
      <c r="E23" s="37">
        <v>112598.9</v>
      </c>
      <c r="F23" s="20">
        <f t="shared" si="0"/>
        <v>11259.89</v>
      </c>
      <c r="G23" s="10" t="s">
        <v>4</v>
      </c>
      <c r="H23" s="1"/>
    </row>
    <row r="24" spans="1:8" x14ac:dyDescent="0.25">
      <c r="A24" s="1"/>
      <c r="B24" s="41" t="s">
        <v>123</v>
      </c>
      <c r="C24" s="39">
        <v>2015</v>
      </c>
      <c r="D24" s="39">
        <v>20</v>
      </c>
      <c r="E24" s="37">
        <v>380693.94</v>
      </c>
      <c r="F24" s="20">
        <f t="shared" si="0"/>
        <v>19034.697</v>
      </c>
      <c r="G24" s="10" t="s">
        <v>4</v>
      </c>
      <c r="H24" s="1"/>
    </row>
    <row r="25" spans="1:8" x14ac:dyDescent="0.25">
      <c r="A25" s="1"/>
      <c r="B25" s="41" t="s">
        <v>124</v>
      </c>
      <c r="C25" s="39">
        <v>2015</v>
      </c>
      <c r="D25" s="39">
        <v>20</v>
      </c>
      <c r="E25" s="37">
        <v>964074.98</v>
      </c>
      <c r="F25" s="20">
        <f t="shared" si="0"/>
        <v>48203.748999999996</v>
      </c>
      <c r="G25" s="10" t="s">
        <v>4</v>
      </c>
      <c r="H25" s="1"/>
    </row>
    <row r="26" spans="1:8" x14ac:dyDescent="0.25">
      <c r="A26" s="1"/>
      <c r="B26" s="41" t="s">
        <v>125</v>
      </c>
      <c r="C26" s="39">
        <v>2015</v>
      </c>
      <c r="D26" s="39">
        <v>20</v>
      </c>
      <c r="E26" s="37">
        <v>1721041.4</v>
      </c>
      <c r="F26" s="20">
        <f t="shared" si="0"/>
        <v>86052.069999999992</v>
      </c>
      <c r="G26" s="10" t="s">
        <v>4</v>
      </c>
      <c r="H26" s="1"/>
    </row>
    <row r="27" spans="1:8" x14ac:dyDescent="0.25">
      <c r="A27" s="1"/>
      <c r="B27" s="41" t="s">
        <v>113</v>
      </c>
      <c r="C27" s="39">
        <v>2015</v>
      </c>
      <c r="D27" s="39">
        <v>75</v>
      </c>
      <c r="E27" s="37">
        <v>1923734.69</v>
      </c>
      <c r="F27" s="20">
        <f t="shared" si="0"/>
        <v>25649.795866666667</v>
      </c>
      <c r="G27" s="10" t="s">
        <v>4</v>
      </c>
      <c r="H27" s="1"/>
    </row>
    <row r="28" spans="1:8" x14ac:dyDescent="0.25">
      <c r="A28" s="1"/>
      <c r="B28" s="41" t="s">
        <v>115</v>
      </c>
      <c r="C28" s="39">
        <v>2015</v>
      </c>
      <c r="D28" s="39">
        <v>75</v>
      </c>
      <c r="E28" s="37">
        <v>383872.94</v>
      </c>
      <c r="F28" s="20">
        <f t="shared" si="0"/>
        <v>5118.3058666666666</v>
      </c>
      <c r="G28" s="10" t="s">
        <v>4</v>
      </c>
      <c r="H28" s="1"/>
    </row>
    <row r="29" spans="1:8" x14ac:dyDescent="0.25">
      <c r="A29" s="1"/>
      <c r="B29" s="41" t="s">
        <v>126</v>
      </c>
      <c r="C29" s="39">
        <v>2015</v>
      </c>
      <c r="D29" s="39">
        <v>75</v>
      </c>
      <c r="E29" s="37">
        <v>4198731.4400000004</v>
      </c>
      <c r="F29" s="20">
        <f t="shared" si="0"/>
        <v>55983.085866666675</v>
      </c>
      <c r="G29" s="10" t="s">
        <v>4</v>
      </c>
      <c r="H29" s="1"/>
    </row>
    <row r="30" spans="1:8" x14ac:dyDescent="0.25">
      <c r="A30" s="1"/>
      <c r="B30" s="41" t="s">
        <v>113</v>
      </c>
      <c r="C30" s="39">
        <v>2015</v>
      </c>
      <c r="D30" s="39">
        <v>100</v>
      </c>
      <c r="E30" s="37">
        <v>50918.77</v>
      </c>
      <c r="F30" s="20">
        <f t="shared" si="0"/>
        <v>509.18769999999995</v>
      </c>
      <c r="G30" s="10" t="s">
        <v>4</v>
      </c>
      <c r="H30" s="1"/>
    </row>
    <row r="31" spans="1:8" x14ac:dyDescent="0.25">
      <c r="A31" s="1"/>
      <c r="B31" s="41" t="s">
        <v>113</v>
      </c>
      <c r="C31" s="39">
        <v>2015</v>
      </c>
      <c r="D31" s="39">
        <v>75</v>
      </c>
      <c r="E31" s="37">
        <v>1831357.48</v>
      </c>
      <c r="F31" s="20">
        <f t="shared" si="0"/>
        <v>24418.099733333333</v>
      </c>
      <c r="G31" s="10" t="s">
        <v>4</v>
      </c>
      <c r="H31" s="1"/>
    </row>
    <row r="32" spans="1:8" x14ac:dyDescent="0.25">
      <c r="A32" s="1"/>
      <c r="B32" s="41" t="s">
        <v>113</v>
      </c>
      <c r="C32" s="39">
        <v>2015</v>
      </c>
      <c r="D32" s="39">
        <v>75</v>
      </c>
      <c r="E32" s="37">
        <v>34374.620000000003</v>
      </c>
      <c r="F32" s="20">
        <f t="shared" si="0"/>
        <v>458.32826666666671</v>
      </c>
      <c r="G32" s="10" t="s">
        <v>4</v>
      </c>
      <c r="H32" s="1"/>
    </row>
    <row r="33" spans="1:8" x14ac:dyDescent="0.25">
      <c r="A33" s="1"/>
      <c r="B33" s="83" t="s">
        <v>127</v>
      </c>
      <c r="C33" s="84"/>
      <c r="D33" s="84"/>
      <c r="E33" s="85"/>
      <c r="F33" s="33">
        <f>SUM(F10:F32)</f>
        <v>711932.16069999989</v>
      </c>
      <c r="G33" s="18" t="s">
        <v>4</v>
      </c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6"/>
      <c r="B53" s="6"/>
      <c r="C53" s="6"/>
      <c r="D53" s="6"/>
      <c r="E53" s="6"/>
      <c r="F53" s="6"/>
      <c r="G53" s="6"/>
      <c r="H53" s="6"/>
    </row>
    <row r="54" spans="1:8" x14ac:dyDescent="0.25">
      <c r="A54" s="6"/>
      <c r="B54" s="6"/>
      <c r="C54" s="6"/>
      <c r="D54" s="6"/>
      <c r="E54" s="6"/>
      <c r="F54" s="6"/>
      <c r="G54" s="6"/>
      <c r="H54" s="6"/>
    </row>
    <row r="55" spans="1:8" x14ac:dyDescent="0.25">
      <c r="A55" s="6"/>
      <c r="B55" s="6"/>
      <c r="C55" s="6"/>
      <c r="D55" s="6"/>
      <c r="E55" s="6"/>
      <c r="F55" s="6"/>
      <c r="G55" s="6"/>
      <c r="H55" s="6"/>
    </row>
    <row r="56" spans="1:8" x14ac:dyDescent="0.25">
      <c r="A56" s="6"/>
      <c r="B56" s="6"/>
      <c r="C56" s="6"/>
      <c r="D56" s="6"/>
      <c r="E56" s="6"/>
      <c r="F56" s="6"/>
      <c r="G56" s="6"/>
      <c r="H56" s="6"/>
    </row>
    <row r="57" spans="1:8" x14ac:dyDescent="0.25">
      <c r="A57" s="6"/>
      <c r="B57" s="6"/>
      <c r="C57" s="6"/>
      <c r="D57" s="6"/>
      <c r="E57" s="6"/>
      <c r="F57" s="6"/>
      <c r="G57" s="6"/>
      <c r="H57" s="6"/>
    </row>
    <row r="58" spans="1:8" x14ac:dyDescent="0.25">
      <c r="A58" s="6"/>
      <c r="B58" s="6"/>
      <c r="C58" s="6"/>
      <c r="D58" s="6"/>
      <c r="E58" s="6"/>
      <c r="F58" s="6"/>
      <c r="G58" s="6"/>
      <c r="H58" s="6"/>
    </row>
    <row r="59" spans="1:8" x14ac:dyDescent="0.25">
      <c r="A59" s="6"/>
      <c r="B59" s="6"/>
      <c r="C59" s="6"/>
      <c r="D59" s="6"/>
      <c r="E59" s="6"/>
      <c r="F59" s="6"/>
      <c r="G59" s="6"/>
      <c r="H59" s="6"/>
    </row>
    <row r="60" spans="1:8" x14ac:dyDescent="0.25">
      <c r="A60" s="6"/>
      <c r="B60" s="6"/>
      <c r="C60" s="6"/>
      <c r="D60" s="6"/>
      <c r="E60" s="6"/>
      <c r="F60" s="6"/>
      <c r="G60" s="6"/>
      <c r="H60" s="6"/>
    </row>
    <row r="61" spans="1:8" x14ac:dyDescent="0.25">
      <c r="A61" s="6"/>
      <c r="B61" s="6"/>
      <c r="C61" s="6"/>
      <c r="D61" s="6"/>
      <c r="E61" s="6"/>
      <c r="F61" s="6"/>
      <c r="G61" s="6"/>
      <c r="H61" s="6"/>
    </row>
    <row r="62" spans="1:8" x14ac:dyDescent="0.25">
      <c r="A62" s="6"/>
      <c r="B62" s="6"/>
      <c r="C62" s="6"/>
      <c r="D62" s="6"/>
      <c r="E62" s="6"/>
      <c r="F62" s="6"/>
      <c r="G62" s="6"/>
      <c r="H62" s="6"/>
    </row>
    <row r="63" spans="1:8" x14ac:dyDescent="0.25">
      <c r="A63" s="6"/>
      <c r="B63" s="6"/>
      <c r="C63" s="6"/>
      <c r="D63" s="6"/>
      <c r="E63" s="6"/>
      <c r="F63" s="6"/>
      <c r="G63" s="6"/>
      <c r="H63" s="6"/>
    </row>
    <row r="64" spans="1:8" x14ac:dyDescent="0.25">
      <c r="A64" s="6"/>
      <c r="B64" s="6"/>
      <c r="C64" s="6"/>
      <c r="D64" s="6"/>
      <c r="E64" s="6"/>
      <c r="F64" s="6"/>
      <c r="G64" s="6"/>
      <c r="H64" s="6"/>
    </row>
    <row r="65" spans="1:8" x14ac:dyDescent="0.25">
      <c r="A65" s="6"/>
      <c r="B65" s="6"/>
      <c r="C65" s="6"/>
      <c r="D65" s="6"/>
      <c r="E65" s="6"/>
      <c r="F65" s="6"/>
      <c r="G65" s="6"/>
      <c r="H65" s="6"/>
    </row>
  </sheetData>
  <sheetProtection password="C6BD" sheet="1" objects="1" scenarios="1"/>
  <mergeCells count="4">
    <mergeCell ref="B33:E3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8" t="s">
        <v>7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5" t="s">
        <v>92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73" t="s">
        <v>80</v>
      </c>
      <c r="C9" s="74"/>
      <c r="D9" s="74"/>
      <c r="E9" s="74"/>
      <c r="F9" s="75"/>
      <c r="G9" s="37">
        <v>13877910.51</v>
      </c>
      <c r="H9" s="10" t="s">
        <v>4</v>
      </c>
      <c r="I9" s="1"/>
    </row>
    <row r="10" spans="1:9" x14ac:dyDescent="0.25">
      <c r="A10" s="1"/>
      <c r="B10" s="73" t="s">
        <v>81</v>
      </c>
      <c r="C10" s="74"/>
      <c r="D10" s="74"/>
      <c r="E10" s="74"/>
      <c r="F10" s="75"/>
      <c r="G10" s="37">
        <v>13780492</v>
      </c>
      <c r="H10" s="10" t="s">
        <v>4</v>
      </c>
      <c r="I10" s="1"/>
    </row>
    <row r="11" spans="1:9" x14ac:dyDescent="0.25">
      <c r="A11" s="1"/>
      <c r="B11" s="83" t="s">
        <v>82</v>
      </c>
      <c r="C11" s="84"/>
      <c r="D11" s="84"/>
      <c r="E11" s="84"/>
      <c r="F11" s="85"/>
      <c r="G11" s="33">
        <f>G9-G10</f>
        <v>97418.509999999776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5" t="s">
        <v>83</v>
      </c>
      <c r="C14" s="96"/>
      <c r="D14" s="96"/>
      <c r="E14" s="96"/>
      <c r="F14" s="96"/>
      <c r="G14" s="96"/>
      <c r="H14" s="97"/>
      <c r="I14" s="1"/>
    </row>
    <row r="15" spans="1:9" x14ac:dyDescent="0.25">
      <c r="A15" s="1"/>
      <c r="B15" s="73" t="s">
        <v>84</v>
      </c>
      <c r="C15" s="74"/>
      <c r="D15" s="74"/>
      <c r="E15" s="74"/>
      <c r="F15" s="75"/>
      <c r="G15" s="37">
        <v>482401.4</v>
      </c>
      <c r="H15" s="10" t="s">
        <v>4</v>
      </c>
      <c r="I15" s="1"/>
    </row>
    <row r="16" spans="1:9" x14ac:dyDescent="0.25">
      <c r="A16" s="1"/>
      <c r="B16" s="73" t="s">
        <v>85</v>
      </c>
      <c r="C16" s="74"/>
      <c r="D16" s="74"/>
      <c r="E16" s="74"/>
      <c r="F16" s="75"/>
      <c r="G16" s="37">
        <v>510184</v>
      </c>
      <c r="H16" s="10" t="s">
        <v>4</v>
      </c>
      <c r="I16" s="1"/>
    </row>
    <row r="17" spans="1:9" x14ac:dyDescent="0.25">
      <c r="A17" s="1"/>
      <c r="B17" s="83" t="s">
        <v>86</v>
      </c>
      <c r="C17" s="84"/>
      <c r="D17" s="84"/>
      <c r="E17" s="84"/>
      <c r="F17" s="85"/>
      <c r="G17" s="33">
        <f>G15-G16</f>
        <v>-27782.599999999977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5" t="s">
        <v>93</v>
      </c>
      <c r="C20" s="96"/>
      <c r="D20" s="96"/>
      <c r="E20" s="96"/>
      <c r="F20" s="96"/>
      <c r="G20" s="96"/>
      <c r="H20" s="97"/>
      <c r="I20" s="1"/>
    </row>
    <row r="21" spans="1:9" x14ac:dyDescent="0.25">
      <c r="A21" s="1"/>
      <c r="B21" s="73" t="s">
        <v>94</v>
      </c>
      <c r="C21" s="74"/>
      <c r="D21" s="74"/>
      <c r="E21" s="74"/>
      <c r="F21" s="75"/>
      <c r="G21" s="37">
        <v>512418.65</v>
      </c>
      <c r="H21" s="10" t="s">
        <v>4</v>
      </c>
      <c r="I21" s="1"/>
    </row>
    <row r="22" spans="1:9" x14ac:dyDescent="0.25">
      <c r="A22" s="1"/>
      <c r="B22" s="73" t="s">
        <v>96</v>
      </c>
      <c r="C22" s="74"/>
      <c r="D22" s="74"/>
      <c r="E22" s="74"/>
      <c r="F22" s="75"/>
      <c r="G22" s="37">
        <v>250000</v>
      </c>
      <c r="H22" s="10" t="s">
        <v>4</v>
      </c>
      <c r="I22" s="1"/>
    </row>
    <row r="23" spans="1:9" x14ac:dyDescent="0.25">
      <c r="A23" s="1"/>
      <c r="B23" s="83" t="s">
        <v>95</v>
      </c>
      <c r="C23" s="84"/>
      <c r="D23" s="84"/>
      <c r="E23" s="84"/>
      <c r="F23" s="85"/>
      <c r="G23" s="33">
        <f>G21-G22</f>
        <v>262418.65000000002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5" t="s">
        <v>87</v>
      </c>
      <c r="C26" s="96"/>
      <c r="D26" s="96"/>
      <c r="E26" s="96"/>
      <c r="F26" s="96"/>
      <c r="G26" s="96"/>
      <c r="H26" s="97"/>
      <c r="I26" s="1"/>
    </row>
    <row r="27" spans="1:9" x14ac:dyDescent="0.25">
      <c r="A27" s="1"/>
      <c r="B27" s="73" t="s">
        <v>88</v>
      </c>
      <c r="C27" s="74"/>
      <c r="D27" s="74"/>
      <c r="E27" s="74"/>
      <c r="F27" s="75"/>
      <c r="G27" s="37">
        <v>713267</v>
      </c>
      <c r="H27" s="10" t="s">
        <v>4</v>
      </c>
      <c r="I27" s="1"/>
    </row>
    <row r="28" spans="1:9" x14ac:dyDescent="0.25">
      <c r="A28" s="1"/>
      <c r="B28" s="73" t="s">
        <v>89</v>
      </c>
      <c r="C28" s="74"/>
      <c r="D28" s="74"/>
      <c r="E28" s="74"/>
      <c r="F28" s="75"/>
      <c r="G28" s="37">
        <v>584174</v>
      </c>
      <c r="H28" s="10" t="s">
        <v>4</v>
      </c>
      <c r="I28" s="1"/>
    </row>
    <row r="29" spans="1:9" x14ac:dyDescent="0.25">
      <c r="A29" s="1"/>
      <c r="B29" s="73" t="s">
        <v>90</v>
      </c>
      <c r="C29" s="74"/>
      <c r="D29" s="74"/>
      <c r="E29" s="74"/>
      <c r="F29" s="75"/>
      <c r="G29" s="20">
        <f>'Fane 7. Gen. inv. i 2015'!F33</f>
        <v>711932.16069999989</v>
      </c>
      <c r="H29" s="10" t="s">
        <v>4</v>
      </c>
      <c r="I29" s="1"/>
    </row>
    <row r="30" spans="1:9" x14ac:dyDescent="0.25">
      <c r="A30" s="1"/>
      <c r="B30" s="83" t="s">
        <v>87</v>
      </c>
      <c r="C30" s="84"/>
      <c r="D30" s="84"/>
      <c r="E30" s="84"/>
      <c r="F30" s="85"/>
      <c r="G30" s="33">
        <f>G29-G27+G29-G28</f>
        <v>126423.32139999978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2016-12-13T11:31:56Z</dcterms:modified>
</cp:coreProperties>
</file>