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I3" i="16" l="1"/>
  <c r="J3" i="16"/>
  <c r="K3" i="16"/>
  <c r="H3" i="16"/>
  <c r="G3" i="16"/>
  <c r="F3" i="17" l="1"/>
  <c r="G3" i="17"/>
  <c r="H4" i="16" l="1"/>
  <c r="I4" i="16"/>
  <c r="J4" i="16"/>
  <c r="K4" i="16"/>
  <c r="P3" i="16" s="1"/>
  <c r="G4" i="16"/>
  <c r="G3" i="24"/>
  <c r="K3" i="24" s="1"/>
  <c r="H3" i="24"/>
  <c r="I3" i="24"/>
  <c r="F3" i="24"/>
  <c r="B11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H5" i="16"/>
  <c r="M3" i="16" s="1"/>
  <c r="H6" i="16"/>
  <c r="J5" i="16"/>
  <c r="J3" i="24"/>
  <c r="M3" i="24" s="1"/>
  <c r="G5" i="16"/>
  <c r="J6" i="16"/>
  <c r="I5" i="16"/>
  <c r="G6" i="16"/>
  <c r="I6" i="16"/>
  <c r="K5" i="16"/>
  <c r="K6" i="16"/>
  <c r="N3" i="16" l="1"/>
  <c r="L3" i="16"/>
  <c r="O3" i="16"/>
  <c r="B9" i="12"/>
  <c r="B10" i="12" s="1"/>
  <c r="H3" i="17"/>
  <c r="B4" i="12" s="1"/>
  <c r="I2" i="15"/>
  <c r="K2" i="15" s="1"/>
  <c r="B2" i="12" s="1"/>
  <c r="Q3" i="16" l="1"/>
  <c r="B3" i="12" s="1"/>
  <c r="B5" i="12" s="1"/>
  <c r="B14" i="12" l="1"/>
  <c r="B16" i="12" s="1"/>
</calcChain>
</file>

<file path=xl/sharedStrings.xml><?xml version="1.0" encoding="utf-8"?>
<sst xmlns="http://schemas.openxmlformats.org/spreadsheetml/2006/main" count="121" uniqueCount="79">
  <si>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</si>
  <si>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</si>
  <si>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</si>
  <si>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</si>
  <si>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</si>
  <si>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</si>
  <si>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</si>
  <si>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</si>
  <si>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</si>
  <si>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</si>
  <si>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</si>
  <si>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</si>
  <si>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</si>
  <si>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</si>
  <si>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</si>
  <si>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</si>
  <si>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</si>
  <si>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</si>
  <si>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</si>
  <si>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</si>
  <si>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</si>
  <si>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</si>
  <si>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Dokumenteret drikkevandssikkerhed</t>
  </si>
  <si>
    <t>Bedre drikkevand/analyser</t>
  </si>
  <si>
    <t>ADK (adgangskontrol)</t>
  </si>
  <si>
    <t>SMS-service</t>
  </si>
  <si>
    <t>Lækagekontrol hos forbrugerne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</si>
  <si>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</si>
  <si>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</si>
  <si>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</si>
  <si>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</si>
  <si>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</si>
  <si>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</si>
  <si>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</si>
  <si>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</si>
  <si>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</si>
  <si>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</si>
  <si>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</si>
  <si>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</si>
  <si>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</si>
  <si>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</si>
  <si>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</si>
  <si>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</si>
  <si>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</si>
  <si>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</si>
  <si>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</si>
  <si>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</si>
  <si>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</si>
  <si>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</si>
  <si>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</si>
  <si>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</si>
  <si>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</si>
  <si>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</si>
  <si>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</si>
  <si>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</si>
  <si>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</si>
  <si>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</si>
  <si>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</si>
  <si>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</si>
  <si>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 xml:space="preserve"> Dokumenteret drikkevandssikkerhed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</si>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</sst>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Fill="1" applyBorder="1" applyAlignment="1">
      <alignment wrapText="1"/>
    </xf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Fill="1" applyBorder="1" applyAlignment="1">
      <alignment wrapText="1"/>
    </xf>
    <xf numFmtId="164" fontId="0" fillId="0" borderId="0" xfId="27368" applyNumberFormat="1" applyFont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6">
        <f>'Faktiske driftsomkostninger'!K2</f>
        <v>13977966.847196467</v>
      </c>
      <c r="C2" t="s">
        <v>11</v>
      </c>
    </row>
    <row r="3" spans="1:3" s="2" customFormat="1" x14ac:dyDescent="0.25">
      <c r="A3" s="5" t="s">
        <v>8</v>
      </c>
      <c r="B3" s="37">
        <f>'Miljø- og servicemål'!Q3</f>
        <v>680188.65</v>
      </c>
      <c r="C3" t="s">
        <v>11</v>
      </c>
    </row>
    <row r="4" spans="1:3" s="2" customFormat="1" x14ac:dyDescent="0.25">
      <c r="A4" s="5" t="s">
        <v>9</v>
      </c>
      <c r="B4" s="37">
        <f>'Revisorerklæringer mm.'!H3</f>
        <v>152391.2453333333</v>
      </c>
      <c r="C4" t="s">
        <v>11</v>
      </c>
    </row>
    <row r="5" spans="1:3" s="26" customFormat="1" x14ac:dyDescent="0.25">
      <c r="A5" s="3" t="s">
        <v>12</v>
      </c>
      <c r="B5" s="49">
        <f>SUM(B2:B4)</f>
        <v>14810546.7425298</v>
      </c>
      <c r="C5" s="64" t="s">
        <v>11</v>
      </c>
    </row>
    <row r="6" spans="1:3" x14ac:dyDescent="0.25">
      <c r="A6" s="48" t="s">
        <v>0</v>
      </c>
      <c r="B6" s="39">
        <f>Investeringer!E3</f>
        <v>8985305.1101803109</v>
      </c>
      <c r="C6" s="23" t="s">
        <v>11</v>
      </c>
    </row>
    <row r="7" spans="1:3" x14ac:dyDescent="0.25">
      <c r="A7" s="4" t="s">
        <v>1</v>
      </c>
      <c r="B7" s="36">
        <f>Investeringer!F3</f>
        <v>1844068.3525430369</v>
      </c>
      <c r="C7" t="s">
        <v>11</v>
      </c>
    </row>
    <row r="8" spans="1:3" x14ac:dyDescent="0.25">
      <c r="A8" s="4" t="s">
        <v>2</v>
      </c>
      <c r="B8" s="36">
        <f>Investeringer!G3</f>
        <v>354888.88888888888</v>
      </c>
      <c r="C8" t="s">
        <v>11</v>
      </c>
    </row>
    <row r="9" spans="1:3" s="22" customFormat="1" x14ac:dyDescent="0.25">
      <c r="A9" s="4" t="s">
        <v>4</v>
      </c>
      <c r="B9" s="36">
        <f>'Finansielle omkostninger'!M3</f>
        <v>482405.35</v>
      </c>
      <c r="C9" t="s">
        <v>11</v>
      </c>
    </row>
    <row r="10" spans="1:3" s="22" customFormat="1" x14ac:dyDescent="0.25">
      <c r="A10" s="3" t="s">
        <v>51</v>
      </c>
      <c r="B10" s="49">
        <f>SUM(B6:B9)</f>
        <v>11666667.701612236</v>
      </c>
      <c r="C10" s="64" t="s">
        <v>11</v>
      </c>
    </row>
    <row r="11" spans="1:3" s="22" customFormat="1" x14ac:dyDescent="0.25">
      <c r="A11" s="4" t="s">
        <v>10</v>
      </c>
      <c r="B11" s="36">
        <f>'Ikke-påvirkelige omkostninger'!M2</f>
        <v>13700630.51</v>
      </c>
      <c r="C11" t="s">
        <v>11</v>
      </c>
    </row>
    <row r="12" spans="1:3" s="22" customFormat="1" x14ac:dyDescent="0.25">
      <c r="A12" s="3" t="s">
        <v>73</v>
      </c>
      <c r="B12" s="49">
        <f>SUM(B11:B11)</f>
        <v>13700630.51</v>
      </c>
      <c r="C12" s="64" t="s">
        <v>11</v>
      </c>
    </row>
    <row r="13" spans="1:3" x14ac:dyDescent="0.25">
      <c r="A13" s="1"/>
      <c r="B13" s="36"/>
    </row>
    <row r="14" spans="1:3" ht="15.75" thickBot="1" x14ac:dyDescent="0.3">
      <c r="A14" s="27" t="s">
        <v>62</v>
      </c>
      <c r="B14" s="38">
        <f>SUM(B5,B10,B12)</f>
        <v>40177844.954142034</v>
      </c>
      <c r="C14" s="27" t="s">
        <v>3</v>
      </c>
    </row>
    <row r="15" spans="1:3" ht="15.75" thickTop="1" x14ac:dyDescent="0.25"/>
    <row r="16" spans="1:3" ht="15.75" thickBot="1" x14ac:dyDescent="0.3">
      <c r="A16" s="27" t="s">
        <v>55</v>
      </c>
      <c r="B16" s="38">
        <f>B14*Pristalsregulering!C8*Pristalsregulering!C9</f>
        <v>40533488.791436404</v>
      </c>
      <c r="C16" s="27" t="s">
        <v>3</v>
      </c>
    </row>
    <row r="17" spans="2:2" ht="15.75" hidden="1" thickTop="1" x14ac:dyDescent="0.25">
      <c r="B17" s="63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6" customWidth="1"/>
    <col min="4" max="4" width="22.7109375" style="36" customWidth="1"/>
    <col min="5" max="9" width="15.7109375" style="36" customWidth="1"/>
    <col min="10" max="10" width="29.85546875" style="36" customWidth="1"/>
    <col min="11" max="11" width="44.140625" style="36" customWidth="1"/>
    <col min="12" max="12" width="0" hidden="1" customWidth="1"/>
    <col min="13" max="16384" width="9.140625" hidden="1"/>
  </cols>
  <sheetData>
    <row r="1" spans="1:11" s="62" customFormat="1" ht="60.75" thickBot="1" x14ac:dyDescent="0.3">
      <c r="A1" s="60" t="s">
        <v>13</v>
      </c>
      <c r="B1" s="61" t="s">
        <v>14</v>
      </c>
      <c r="C1" s="61" t="s">
        <v>63</v>
      </c>
      <c r="D1" s="61" t="s">
        <v>64</v>
      </c>
      <c r="E1" s="61" t="s">
        <v>56</v>
      </c>
      <c r="F1" s="53" t="s">
        <v>65</v>
      </c>
      <c r="G1" s="53" t="s">
        <v>74</v>
      </c>
      <c r="H1" s="53" t="s">
        <v>66</v>
      </c>
      <c r="I1" s="53" t="s">
        <v>52</v>
      </c>
      <c r="J1" s="11" t="s">
        <v>67</v>
      </c>
      <c r="K1" s="11" t="s">
        <v>68</v>
      </c>
    </row>
    <row r="2" spans="1:11" s="23" customFormat="1" ht="15.75" thickTop="1" x14ac:dyDescent="0.25">
      <c r="A2" s="28">
        <v>2015</v>
      </c>
      <c r="B2" s="50">
        <v>14418568.77</v>
      </c>
      <c r="C2" s="50">
        <v>0</v>
      </c>
      <c r="D2" s="50">
        <f>B2+C2</f>
        <v>14418568.77</v>
      </c>
      <c r="E2" s="51">
        <f>D2</f>
        <v>14418568.77</v>
      </c>
      <c r="F2" s="50">
        <v>13977966.847196467</v>
      </c>
      <c r="G2" s="50">
        <v>0</v>
      </c>
      <c r="H2" s="50">
        <f>F2-G2</f>
        <v>13977966.847196467</v>
      </c>
      <c r="I2" s="50">
        <f>AVERAGEIF(E2:E4,"&lt;&gt;0")</f>
        <v>14205974.895523997</v>
      </c>
      <c r="J2" s="50">
        <v>10029952.733564321</v>
      </c>
      <c r="K2" s="40">
        <f>IF(H2&gt;I2,IF(I2&gt;J2,I2,J2),H2)</f>
        <v>13977966.847196467</v>
      </c>
    </row>
    <row r="3" spans="1:11" s="23" customFormat="1" x14ac:dyDescent="0.25">
      <c r="A3" s="28">
        <v>2014</v>
      </c>
      <c r="B3" s="50">
        <v>13219412.109999999</v>
      </c>
      <c r="C3" s="50"/>
      <c r="D3" s="50">
        <f t="shared" ref="D3:D4" si="0">B3+C3</f>
        <v>13219412.109999999</v>
      </c>
      <c r="E3" s="51">
        <f>D3*Pristalsregulering!C7</f>
        <v>13229987.639687998</v>
      </c>
      <c r="F3" s="50"/>
      <c r="G3" s="50"/>
      <c r="H3" s="50">
        <f t="shared" ref="H3:H4" si="1">F3-G3</f>
        <v>0</v>
      </c>
      <c r="I3" s="50"/>
      <c r="J3" s="50"/>
      <c r="K3" s="36"/>
    </row>
    <row r="4" spans="1:11" x14ac:dyDescent="0.25">
      <c r="A4" s="28">
        <v>2013</v>
      </c>
      <c r="B4" s="50">
        <v>14736357</v>
      </c>
      <c r="C4" s="50"/>
      <c r="D4" s="50">
        <f t="shared" si="0"/>
        <v>14736357</v>
      </c>
      <c r="E4" s="51">
        <f>D4*Pristalsregulering!$C$6*Pristalsregulering!$C$7</f>
        <v>14969368.276883997</v>
      </c>
      <c r="F4" s="50"/>
      <c r="G4" s="50"/>
      <c r="H4" s="50">
        <f t="shared" si="1"/>
        <v>0</v>
      </c>
      <c r="I4" s="50"/>
      <c r="J4" s="50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6" width="30.7109375" customWidth="1"/>
    <col min="7" max="7" width="30.7109375" style="56" customWidth="1"/>
    <col min="8" max="11" width="30.7109375" customWidth="1"/>
    <col min="12" max="12" width="30.7109375" style="56" customWidth="1"/>
    <col min="13" max="16" width="30.7109375" customWidth="1"/>
    <col min="17" max="17" width="30.7109375" style="56" customWidth="1"/>
    <col min="18" max="18" width="9.140625" hidden="1" customWidth="1"/>
    <col min="90" max="90" width="9.140625" hidden="1"/>
    <col min="106" max="106" width="9.140625" hidden="1"/>
    <col min="116" max="116" width="9.140625" hidden="1"/>
    <col min="126" max="126" width="9.140625" hidden="1"/>
    <col min="162" max="162" width="9.140625" hidden="1"/>
    <col min="178" max="178" width="9.140625" hidden="1"/>
    <col min="188" max="188" width="9.140625" hidden="1"/>
    <col min="198" max="198" width="9.140625" hidden="1"/>
    <col min="204" max="204" width="9.140625" hidden="1"/>
    <col min="214" max="214" width="9.140625" hidden="1"/>
    <col min="224" max="224" width="9.140625" hidden="1"/>
    <col min="234" max="234" width="9.140625" hidden="1"/>
    <col min="250" max="250" width="9.140625" hidden="1"/>
    <col min="260" max="260" width="9.140625" hidden="1"/>
    <col min="270" max="270" width="9.140625" hidden="1"/>
    <col min="276" max="276" width="9.140625" hidden="1"/>
    <col min="286" max="286" width="9.140625" hidden="1"/>
    <col min="296" max="296" width="9.140625" hidden="1"/>
    <col min="306" max="306" width="9.140625" hidden="1"/>
    <col min="312" max="312" width="9.140625" hidden="1"/>
    <col min="322" max="322" width="9.140625" hidden="1"/>
    <col min="332" max="332" width="9.140625" hidden="1"/>
    <col min="342" max="16384" width="9.140625" hidden="1"/>
  </cols>
  <sheetData>
    <row r="1" spans="1:17" s="27" customFormat="1" ht="15.75" thickBot="1" x14ac:dyDescent="0.3">
      <c r="A1" s="9"/>
      <c r="B1" s="33" t="s">
        <v>76</v>
      </c>
      <c r="C1" s="33"/>
      <c r="D1" s="33"/>
      <c r="E1" s="33"/>
      <c r="F1" s="33"/>
      <c r="G1" s="76" t="s">
        <v>77</v>
      </c>
      <c r="H1" s="77"/>
      <c r="I1" s="10"/>
      <c r="J1" s="10"/>
      <c r="K1" s="10"/>
      <c r="L1" s="76" t="s">
        <v>78</v>
      </c>
      <c r="M1" s="77"/>
      <c r="N1" s="10"/>
      <c r="O1" s="10"/>
      <c r="P1" s="10"/>
      <c r="Q1" s="65"/>
    </row>
    <row r="2" spans="1:17" ht="30.75" thickTop="1" x14ac:dyDescent="0.25">
      <c r="A2" s="17" t="s">
        <v>13</v>
      </c>
      <c r="B2" s="34" t="s">
        <v>59</v>
      </c>
      <c r="C2" s="35" t="s">
        <v>23</v>
      </c>
      <c r="D2" s="35" t="s">
        <v>24</v>
      </c>
      <c r="E2" s="35" t="s">
        <v>25</v>
      </c>
      <c r="F2" s="35" t="s">
        <v>26</v>
      </c>
      <c r="G2" s="57" t="s">
        <v>22</v>
      </c>
      <c r="H2" s="35" t="s">
        <v>23</v>
      </c>
      <c r="I2" s="35" t="s">
        <v>24</v>
      </c>
      <c r="J2" s="35" t="s">
        <v>25</v>
      </c>
      <c r="K2" s="35" t="s">
        <v>26</v>
      </c>
      <c r="L2" s="58" t="s">
        <v>22</v>
      </c>
      <c r="M2" s="35" t="s">
        <v>23</v>
      </c>
      <c r="N2" s="35" t="s">
        <v>24</v>
      </c>
      <c r="O2" s="35" t="s">
        <v>25</v>
      </c>
      <c r="P2" s="35" t="s">
        <v>26</v>
      </c>
      <c r="Q2" s="54" t="s">
        <v>27</v>
      </c>
    </row>
    <row r="3" spans="1:17" s="22" customFormat="1" x14ac:dyDescent="0.25">
      <c r="A3" s="28">
        <v>2016</v>
      </c>
      <c r="B3" s="74"/>
      <c r="C3" s="75">
        <v>44336</v>
      </c>
      <c r="D3" s="75">
        <v>21067</v>
      </c>
      <c r="E3" s="75">
        <v>10000</v>
      </c>
      <c r="F3" s="75">
        <v>92367</v>
      </c>
      <c r="G3" s="46">
        <f t="shared" ref="G3:H3" si="0">B3</f>
        <v>0</v>
      </c>
      <c r="H3" s="36">
        <f t="shared" si="0"/>
        <v>44336</v>
      </c>
      <c r="I3" s="36">
        <f>D3</f>
        <v>21067</v>
      </c>
      <c r="J3" s="36">
        <f>E3</f>
        <v>10000</v>
      </c>
      <c r="K3" s="36">
        <f>F3</f>
        <v>92367</v>
      </c>
      <c r="L3" s="46">
        <f>IF(G4=0,0,AVERAGEIF(G4:G6,"&lt;&gt;0"))+G3</f>
        <v>512418.65</v>
      </c>
      <c r="M3" s="39">
        <f>IF(H4=0,0,AVERAGEIF(H4:H6,"&lt;&gt;0"))+H3</f>
        <v>44336</v>
      </c>
      <c r="N3" s="39">
        <f>IF(I4=0,0,AVERAGEIF(I4:I6,"&lt;&gt;0"))+I3</f>
        <v>21067</v>
      </c>
      <c r="O3" s="39">
        <f>IF(J4=0,0,AVERAGEIF(J4:J6,"&lt;&gt;0"))+J3</f>
        <v>10000</v>
      </c>
      <c r="P3" s="39">
        <f>IF(K4=0,0,AVERAGEIF(K4:K6,"&lt;&gt;0"))+K3</f>
        <v>92367</v>
      </c>
      <c r="Q3" s="59">
        <f>SUM(L3:P3)</f>
        <v>680188.65</v>
      </c>
    </row>
    <row r="4" spans="1:17" x14ac:dyDescent="0.25">
      <c r="A4" s="28">
        <v>2015</v>
      </c>
      <c r="B4" s="36">
        <v>512418.65</v>
      </c>
      <c r="C4" s="36"/>
      <c r="D4" s="36"/>
      <c r="E4" s="36"/>
      <c r="F4" s="36"/>
      <c r="G4" s="46">
        <f>B4</f>
        <v>512418.65</v>
      </c>
      <c r="H4" s="36">
        <f>C4</f>
        <v>0</v>
      </c>
      <c r="I4" s="36">
        <f>D4</f>
        <v>0</v>
      </c>
      <c r="J4" s="36">
        <f>E4</f>
        <v>0</v>
      </c>
      <c r="K4" s="36">
        <f>F4</f>
        <v>0</v>
      </c>
      <c r="L4" s="46"/>
      <c r="M4" s="39"/>
      <c r="N4" s="39"/>
      <c r="O4" s="39"/>
      <c r="P4" s="39"/>
      <c r="Q4" s="55"/>
    </row>
    <row r="5" spans="1:17" x14ac:dyDescent="0.25">
      <c r="A5" s="28">
        <v>2014</v>
      </c>
      <c r="B5" s="36"/>
      <c r="C5" s="36"/>
      <c r="D5" s="36"/>
      <c r="E5" s="36"/>
      <c r="F5" s="36"/>
      <c r="G5" s="46">
        <f>B5*Pristalsregulering!$C$7</f>
        <v>0</v>
      </c>
      <c r="H5" s="36">
        <f>C5*Pristalsregulering!$C$7</f>
        <v>0</v>
      </c>
      <c r="I5" s="36">
        <f>D5*Pristalsregulering!$C$7</f>
        <v>0</v>
      </c>
      <c r="J5" s="36">
        <f>E5*Pristalsregulering!$C$7</f>
        <v>0</v>
      </c>
      <c r="K5" s="36">
        <f>F5*Pristalsregulering!$C$7</f>
        <v>0</v>
      </c>
      <c r="L5" s="46"/>
      <c r="M5" s="36"/>
      <c r="N5" s="36"/>
      <c r="O5" s="36"/>
      <c r="P5" s="36"/>
      <c r="Q5" s="46"/>
    </row>
    <row r="6" spans="1:17" x14ac:dyDescent="0.25">
      <c r="A6" s="28">
        <v>2013</v>
      </c>
      <c r="B6" s="36"/>
      <c r="C6" s="36"/>
      <c r="D6" s="36"/>
      <c r="E6" s="36"/>
      <c r="F6" s="36"/>
      <c r="G6" s="46">
        <f>B6*Pristalsregulering!$C$7*Pristalsregulering!$C$6</f>
        <v>0</v>
      </c>
      <c r="H6" s="36">
        <f>C6*Pristalsregulering!$C$7*Pristalsregulering!$C$6</f>
        <v>0</v>
      </c>
      <c r="I6" s="36">
        <f>D6*Pristalsregulering!$C$7*Pristalsregulering!$C$6</f>
        <v>0</v>
      </c>
      <c r="J6" s="36">
        <f>E6*Pristalsregulering!$C$7*Pristalsregulering!$C$6</f>
        <v>0</v>
      </c>
      <c r="K6" s="36">
        <f>F6*Pristalsregulering!$C$7*Pristalsregulering!$C$6</f>
        <v>0</v>
      </c>
      <c r="L6" s="46"/>
      <c r="M6" s="36"/>
      <c r="N6" s="36"/>
      <c r="O6" s="36"/>
      <c r="P6" s="36"/>
      <c r="Q6" s="46"/>
    </row>
    <row r="7" spans="1:17" hidden="1" x14ac:dyDescent="0.25"/>
    <row r="8" spans="1:17" hidden="1" x14ac:dyDescent="0.25"/>
    <row r="9" spans="1:17" hidden="1" x14ac:dyDescent="0.25"/>
  </sheetData>
  <sheetProtection password="C6BD" sheet="1" objects="1" scenarios="1"/>
  <mergeCells count="2">
    <mergeCell ref="G1:H1"/>
    <mergeCell ref="L1:M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6" t="s">
        <v>28</v>
      </c>
      <c r="C1" s="77"/>
      <c r="D1" s="77"/>
      <c r="E1" s="78" t="s">
        <v>57</v>
      </c>
      <c r="F1" s="79"/>
      <c r="G1" s="80"/>
      <c r="H1" s="29"/>
    </row>
    <row r="2" spans="1:8" s="21" customFormat="1" ht="15.75" thickTop="1" x14ac:dyDescent="0.25">
      <c r="A2" s="19" t="s">
        <v>13</v>
      </c>
      <c r="B2" s="16" t="s">
        <v>29</v>
      </c>
      <c r="C2" s="20" t="s">
        <v>30</v>
      </c>
      <c r="D2" s="20" t="s">
        <v>31</v>
      </c>
      <c r="E2" s="16" t="s">
        <v>29</v>
      </c>
      <c r="F2" s="20" t="s">
        <v>30</v>
      </c>
      <c r="G2" s="47" t="s">
        <v>31</v>
      </c>
      <c r="H2" s="6" t="s">
        <v>33</v>
      </c>
    </row>
    <row r="3" spans="1:8" x14ac:dyDescent="0.25">
      <c r="A3" s="31">
        <v>2015</v>
      </c>
      <c r="B3" s="42">
        <v>22000</v>
      </c>
      <c r="C3" s="43">
        <v>155280</v>
      </c>
      <c r="D3" s="43">
        <v>0</v>
      </c>
      <c r="E3" s="42">
        <f>B3</f>
        <v>22000</v>
      </c>
      <c r="F3" s="43">
        <f t="shared" ref="F3:G3" si="0">C3</f>
        <v>155280</v>
      </c>
      <c r="G3" s="44">
        <f t="shared" si="0"/>
        <v>0</v>
      </c>
      <c r="H3" s="45">
        <f>IF(E3=0,0,AVERAGEIF(E3:E5,"&lt;&gt;0"))+IF(F3=0,0,AVERAGEIF(F3:F5,"&lt;&gt;0"))+IF(G3=0,0,AVERAGEIF(G3:G5,"&lt;&gt;0"))</f>
        <v>152391.2453333333</v>
      </c>
    </row>
    <row r="4" spans="1:8" x14ac:dyDescent="0.25">
      <c r="A4" s="31">
        <v>2014</v>
      </c>
      <c r="B4" s="42">
        <v>22000</v>
      </c>
      <c r="C4" s="43">
        <v>117600</v>
      </c>
      <c r="D4" s="43">
        <v>4000</v>
      </c>
      <c r="E4" s="42">
        <f>B4*Pristalsregulering!$C$7</f>
        <v>22017.599999999999</v>
      </c>
      <c r="F4" s="43">
        <f>C4*Pristalsregulering!$C$7</f>
        <v>117694.07999999999</v>
      </c>
      <c r="G4" s="44">
        <f>D4*Pristalsregulering!$C$7</f>
        <v>4003.2</v>
      </c>
      <c r="H4" s="43"/>
    </row>
    <row r="5" spans="1:8" x14ac:dyDescent="0.25">
      <c r="A5" s="31">
        <v>2013</v>
      </c>
      <c r="B5" s="42">
        <v>26000</v>
      </c>
      <c r="C5" s="43">
        <v>112000</v>
      </c>
      <c r="D5" s="43">
        <v>0</v>
      </c>
      <c r="E5" s="42">
        <f>B5*Pristalsregulering!$C$7*Pristalsregulering!$C$6</f>
        <v>26411.111999999997</v>
      </c>
      <c r="F5" s="43">
        <f>C5*Pristalsregulering!$C$7*Pristalsregulering!$C$6</f>
        <v>113770.94399999997</v>
      </c>
      <c r="G5" s="44">
        <f>D5*Pristalsregulering!$C$7*Pristalsregulering!$C$6</f>
        <v>0</v>
      </c>
      <c r="H5" s="43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3"/>
      <c r="B1" s="79" t="s">
        <v>71</v>
      </c>
      <c r="C1" s="79"/>
      <c r="D1" s="80"/>
      <c r="E1" s="81" t="s">
        <v>72</v>
      </c>
      <c r="F1" s="81"/>
      <c r="G1" s="81"/>
    </row>
    <row r="2" spans="1:7" s="22" customFormat="1" ht="15.75" thickTop="1" x14ac:dyDescent="0.25">
      <c r="A2" s="71" t="s">
        <v>13</v>
      </c>
      <c r="B2" s="23" t="s">
        <v>69</v>
      </c>
      <c r="C2" s="23" t="s">
        <v>1</v>
      </c>
      <c r="D2" s="28" t="s">
        <v>70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2">
        <v>2015</v>
      </c>
      <c r="B3" s="39">
        <v>8253250.3460147846</v>
      </c>
      <c r="C3" s="39">
        <v>1801563.9890333335</v>
      </c>
      <c r="D3" s="41">
        <v>354888.88888888888</v>
      </c>
      <c r="E3" s="36">
        <f>B3*Pristalsregulering!C2*Pristalsregulering!C3*Pristalsregulering!C4*Pristalsregulering!C5*Pristalsregulering!C6*Pristalsregulering!C7</f>
        <v>8985305.1101803109</v>
      </c>
      <c r="F3" s="36">
        <v>1844068.3525430369</v>
      </c>
      <c r="G3" s="36">
        <f>D3</f>
        <v>354888.88888888888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3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6" t="s">
        <v>44</v>
      </c>
      <c r="C1" s="77"/>
      <c r="D1" s="77"/>
      <c r="E1" s="77"/>
      <c r="F1" s="78" t="s">
        <v>58</v>
      </c>
      <c r="G1" s="79"/>
      <c r="H1" s="79"/>
      <c r="I1" s="79"/>
      <c r="J1" s="82" t="s">
        <v>33</v>
      </c>
      <c r="K1" s="81"/>
      <c r="L1" s="83"/>
      <c r="M1" s="13"/>
    </row>
    <row r="2" spans="1:14" s="26" customFormat="1" ht="15.75" thickTop="1" x14ac:dyDescent="0.25">
      <c r="A2" s="19" t="s">
        <v>13</v>
      </c>
      <c r="B2" s="8" t="s">
        <v>45</v>
      </c>
      <c r="C2" s="7" t="s">
        <v>46</v>
      </c>
      <c r="D2" s="7" t="s">
        <v>47</v>
      </c>
      <c r="E2" s="52" t="s">
        <v>48</v>
      </c>
      <c r="F2" s="7" t="s">
        <v>45</v>
      </c>
      <c r="G2" s="7" t="s">
        <v>46</v>
      </c>
      <c r="H2" s="7" t="s">
        <v>47</v>
      </c>
      <c r="I2" s="52" t="s">
        <v>48</v>
      </c>
      <c r="J2" s="20" t="s">
        <v>49</v>
      </c>
      <c r="K2" s="20" t="s">
        <v>46</v>
      </c>
      <c r="L2" s="15" t="s">
        <v>75</v>
      </c>
      <c r="M2" s="6" t="s">
        <v>32</v>
      </c>
      <c r="N2" s="32"/>
    </row>
    <row r="3" spans="1:14" x14ac:dyDescent="0.25">
      <c r="A3" s="28">
        <v>2015</v>
      </c>
      <c r="B3" s="46">
        <v>0</v>
      </c>
      <c r="C3" s="39">
        <v>482405.35</v>
      </c>
      <c r="D3" s="39">
        <v>0</v>
      </c>
      <c r="E3" s="41">
        <v>0</v>
      </c>
      <c r="F3" s="39">
        <f>B3</f>
        <v>0</v>
      </c>
      <c r="G3" s="39">
        <f>C3</f>
        <v>482405.35</v>
      </c>
      <c r="H3" s="39">
        <f>D3</f>
        <v>0</v>
      </c>
      <c r="I3" s="41">
        <f>E3</f>
        <v>0</v>
      </c>
      <c r="J3" s="43">
        <f>AVERAGE(F3:F5)</f>
        <v>0</v>
      </c>
      <c r="K3" s="43">
        <f>G3</f>
        <v>482405.35</v>
      </c>
      <c r="L3" s="44">
        <f>AVERAGE(H3:H5)+AVERAGE(I3:I5)</f>
        <v>0</v>
      </c>
      <c r="M3" s="45">
        <f>SUM(J3:L3)</f>
        <v>482405.35</v>
      </c>
      <c r="N3" s="23"/>
    </row>
    <row r="4" spans="1:14" x14ac:dyDescent="0.25">
      <c r="A4" s="28">
        <v>2014</v>
      </c>
      <c r="B4" s="46">
        <v>0</v>
      </c>
      <c r="C4" s="39">
        <v>499380.91</v>
      </c>
      <c r="D4" s="39">
        <v>0</v>
      </c>
      <c r="E4" s="41">
        <v>0</v>
      </c>
      <c r="F4" s="39">
        <f>IF(B4="","",B4*Pristalsregulering!$C$7)</f>
        <v>0</v>
      </c>
      <c r="G4" s="39">
        <f>IF(C4="","",C4*Pristalsregulering!$C$7)</f>
        <v>499780.41472799995</v>
      </c>
      <c r="H4" s="39">
        <f>IF(D4="","",D4*Pristalsregulering!$C$7)</f>
        <v>0</v>
      </c>
      <c r="I4" s="41">
        <f>IF(E4="","",E4*Pristalsregulering!$C$7)</f>
        <v>0</v>
      </c>
      <c r="J4" s="39"/>
      <c r="L4" s="41"/>
      <c r="M4" s="36"/>
    </row>
    <row r="5" spans="1:14" x14ac:dyDescent="0.25">
      <c r="A5" s="28">
        <v>2013</v>
      </c>
      <c r="B5" s="46">
        <v>0</v>
      </c>
      <c r="C5" s="39">
        <v>903305</v>
      </c>
      <c r="D5" s="39">
        <v>0</v>
      </c>
      <c r="E5" s="41">
        <v>0</v>
      </c>
      <c r="F5" s="39">
        <f>IF(B5="","",B5*Pristalsregulering!$C$7*Pristalsregulering!$C$6)</f>
        <v>0</v>
      </c>
      <c r="G5" s="39">
        <f>IF(C5="","",C5*Pristalsregulering!$C$7*Pristalsregulering!$C$6)</f>
        <v>917588.05865999986</v>
      </c>
      <c r="H5" s="39">
        <f>IF(D5="","",D5*Pristalsregulering!$C$7*Pristalsregulering!$C$6)</f>
        <v>0</v>
      </c>
      <c r="I5" s="41">
        <f>IF(E5="","",E5*Pristalsregulering!$C$7*Pristalsregulering!$C$6)</f>
        <v>0</v>
      </c>
      <c r="J5" s="36"/>
      <c r="L5" s="41"/>
      <c r="M5" s="36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8" t="s">
        <v>34</v>
      </c>
      <c r="C1" s="68" t="s">
        <v>35</v>
      </c>
      <c r="D1" s="68" t="s">
        <v>36</v>
      </c>
      <c r="E1" s="68" t="s">
        <v>37</v>
      </c>
      <c r="F1" s="68" t="s">
        <v>38</v>
      </c>
      <c r="G1" s="68" t="s">
        <v>39</v>
      </c>
      <c r="H1" s="68" t="s">
        <v>40</v>
      </c>
      <c r="I1" s="68" t="s">
        <v>41</v>
      </c>
      <c r="J1" s="68" t="s">
        <v>42</v>
      </c>
      <c r="K1" s="68" t="s">
        <v>60</v>
      </c>
      <c r="L1" s="69" t="s">
        <v>43</v>
      </c>
      <c r="M1" s="14" t="s">
        <v>32</v>
      </c>
    </row>
    <row r="2" spans="1:13" ht="15.75" thickTop="1" x14ac:dyDescent="0.25">
      <c r="A2" s="31">
        <v>2015</v>
      </c>
      <c r="B2" s="43">
        <v>32522.74</v>
      </c>
      <c r="C2" s="43">
        <v>0</v>
      </c>
      <c r="D2" s="43">
        <v>51400.77</v>
      </c>
      <c r="E2" s="43">
        <v>0</v>
      </c>
      <c r="F2" s="43">
        <v>0</v>
      </c>
      <c r="G2" s="43">
        <v>13616707</v>
      </c>
      <c r="H2" s="43" t="s">
        <v>50</v>
      </c>
      <c r="I2" s="43">
        <v>0</v>
      </c>
      <c r="J2" s="43">
        <v>0</v>
      </c>
      <c r="K2" s="43"/>
      <c r="L2" s="44"/>
      <c r="M2" s="45">
        <f>SUM(B2:L2)</f>
        <v>13700630.51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50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50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61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53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54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2016-11-11T16:17:57Z</dcterms:modified>
</cp:coreProperties>
</file>