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025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41" i="11" l="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42" i="11"/>
  <c r="F10" i="11"/>
  <c r="F43" i="11" s="1"/>
  <c r="G29" i="12" s="1"/>
  <c r="G13" i="10"/>
  <c r="E15" i="2" s="1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<sst xmlns="http://schemas.openxmlformats.org/spreadsheetml/2006/main" count="292" uniqueCount="135">
  <si>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</si>
  <si>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</si>
  <si>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</si>
  <si>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</si>
  <si>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</si>
  <si>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</si>
  <si>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</si>
  <si>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</si>
  <si>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</si>
  <si>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</si>
  <si>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</si>
  <si>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</si>
  <si>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</si>
  <si>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</si>
  <si>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</si>
  <si>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</si>
  <si>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</si>
  <si>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</si>
  <si>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</si>
  <si>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</si>
  <si>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</si>
  <si>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</si>
  <si>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</si>
  <si>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</si>
  <si>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</si>
  <si>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</si>
  <si>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</si>
  <si>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</si>
  <si>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</si>
  <si>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</si>
  <si>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</si>
  <si>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</si>
  <si>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</si>
  <si>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</si>
  <si>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</si>
  <si>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</si>
  <si>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</si>
  <si>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</si>
  <si>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</si>
  <si>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</si>
  <si>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</si>
  <si>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</si>
  <si>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</si>
  <si>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</si>
  <si>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</si>
  <si>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</si>
  <si>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</si>
  <si>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</si>
  <si>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</si>
  <si>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</si>
  <si>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</si>
  <si>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</si>
  <si>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</si>
  <si>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</si>
  <si>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</si>
  <si>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</si>
  <si>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</si>
  <si>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</si>
  <si>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</si>
  <si>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</si>
  <si>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</si>
  <si>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</si>
  <si>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</si>
  <si>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</si>
  <si>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</si>
  <si>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</si>
  <si>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</si>
  <si>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</si>
  <si>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</si>
  <si>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</si>
  <si>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</si>
  <si>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</si>
  <si>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</si>
  <si>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</si>
  <si>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</si>
  <si>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</si>
  <si>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</si>
  <si>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</si>
  <si>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</si>
  <si>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</si>
  <si>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</si>
  <si>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</si>
  <si>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</si>
  <si>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</si>
  <si>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</si>
  <si>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</si>
  <si>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</si>
  <si>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</si>
  <si>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</si>
  <si>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</si>
  <si>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</si>
  <si>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</si>
  <si>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</si>
  <si>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</si>
  <si>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</si>
  <si>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</si>
  <si>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</si>
  <si>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</si>
  <si>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</si>
  <si>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</si>
  <si>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</si>
  <si>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</si>
  <si>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</si>
  <si>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</si>
  <si>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</si>
  <si>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</si>
  <si>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</si>
  <si>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</si>
  <si>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</si>
  <si>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</si>
  <si>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</si>
  <si>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</si>
  <si>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</si>
  <si>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Etageareal vandbehandlingsbygning</t>
  </si>
  <si>
    <t>SRO-anlæg, vandværk</t>
  </si>
  <si>
    <t>Rentvandsbeholder  element</t>
  </si>
  <si>
    <t>Filteranlæg, trykfiltre, dobbelt filtrering</t>
  </si>
  <si>
    <t>Udpumpningsanlæg, rentvandspumper på vandværk</t>
  </si>
  <si>
    <t>Elanlæg - vandværk</t>
  </si>
  <si>
    <t>Boring (inkl. etablering, forerør, filter og prøvepumpning)</t>
  </si>
  <si>
    <t>Pumpe inkl. stigrør og forerørsforsejlinger mv.</t>
  </si>
  <si>
    <t xml:space="preserve">Afregningsmålere, mekaniske </t>
  </si>
  <si>
    <t>Køretøjer, små lastvogne (&lt; 3.500 kg.)</t>
  </si>
  <si>
    <t>Arbejdsplads, inventar</t>
  </si>
  <si>
    <t>Ø 50mm &lt; Ledningsnet ≤ Ø110 mm</t>
  </si>
  <si>
    <t>Beholderanlæg - vandtårn</t>
  </si>
  <si>
    <t>Råvandsstation komplet montering og boringshus/tørbrønd</t>
  </si>
  <si>
    <t>Stik på ledningsnet, Konstruktioner</t>
  </si>
  <si>
    <t>Ventiler på Ø 50mm &lt; Ledningsnet ≤ Ø110 mm</t>
  </si>
  <si>
    <t>Ø110 mm &lt; Ledningsnet ≤ Ø 250 mm</t>
  </si>
  <si>
    <t>Ø 250 mm &lt; Ledningsnet ≤ Ø 500mm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</si>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</sst>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45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80" t="s">
        <v>47</v>
      </c>
      <c r="C9" s="81"/>
      <c r="D9" s="81"/>
      <c r="E9" s="81"/>
      <c r="F9" s="82"/>
      <c r="G9" s="35">
        <v>36805897</v>
      </c>
      <c r="H9" s="16" t="s">
        <v>4</v>
      </c>
      <c r="I9" s="1"/>
    </row>
    <row r="10" spans="1:9" x14ac:dyDescent="0.25">
      <c r="A10" s="1"/>
      <c r="B10" s="83" t="s">
        <v>48</v>
      </c>
      <c r="C10" s="84"/>
      <c r="D10" s="84"/>
      <c r="E10" s="84"/>
      <c r="F10" s="84"/>
      <c r="G10" s="84"/>
      <c r="H10" s="85"/>
      <c r="I10" s="1"/>
    </row>
    <row r="11" spans="1:9" x14ac:dyDescent="0.25">
      <c r="A11" s="1"/>
      <c r="B11" s="73" t="s">
        <v>49</v>
      </c>
      <c r="C11" s="74"/>
      <c r="D11" s="75"/>
      <c r="E11" s="37">
        <v>10267652</v>
      </c>
      <c r="F11" s="10" t="s">
        <v>4</v>
      </c>
      <c r="G11" s="19"/>
      <c r="H11" s="25"/>
      <c r="I11" s="1"/>
    </row>
    <row r="12" spans="1:9" x14ac:dyDescent="0.25">
      <c r="A12" s="1"/>
      <c r="B12" s="73" t="s">
        <v>50</v>
      </c>
      <c r="C12" s="74"/>
      <c r="D12" s="75"/>
      <c r="E12" s="37">
        <v>1366159</v>
      </c>
      <c r="F12" s="10" t="s">
        <v>4</v>
      </c>
      <c r="G12" s="13"/>
      <c r="H12" s="26"/>
      <c r="I12" s="1"/>
    </row>
    <row r="13" spans="1:9" x14ac:dyDescent="0.25">
      <c r="A13" s="1"/>
      <c r="B13" s="73" t="s">
        <v>51</v>
      </c>
      <c r="C13" s="74"/>
      <c r="D13" s="75"/>
      <c r="E13" s="37">
        <v>-1076366</v>
      </c>
      <c r="F13" s="10" t="s">
        <v>4</v>
      </c>
      <c r="G13" s="13"/>
      <c r="H13" s="26"/>
      <c r="I13" s="1"/>
    </row>
    <row r="14" spans="1:9" x14ac:dyDescent="0.25">
      <c r="A14" s="1"/>
      <c r="B14" s="73" t="s">
        <v>52</v>
      </c>
      <c r="C14" s="74"/>
      <c r="D14" s="75"/>
      <c r="E14" s="37">
        <v>967833</v>
      </c>
      <c r="F14" s="10" t="s">
        <v>4</v>
      </c>
      <c r="G14" s="13"/>
      <c r="H14" s="26"/>
      <c r="I14" s="1"/>
    </row>
    <row r="15" spans="1:9" x14ac:dyDescent="0.25">
      <c r="A15" s="1"/>
      <c r="B15" s="80" t="s">
        <v>53</v>
      </c>
      <c r="C15" s="81"/>
      <c r="D15" s="82"/>
      <c r="E15" s="32">
        <f>SUM(E11:E14)</f>
        <v>11525278</v>
      </c>
      <c r="F15" s="16" t="s">
        <v>4</v>
      </c>
      <c r="G15" s="13"/>
      <c r="H15" s="26"/>
      <c r="I15" s="1"/>
    </row>
    <row r="16" spans="1:9" x14ac:dyDescent="0.25">
      <c r="A16" s="1"/>
      <c r="B16" s="73" t="s">
        <v>54</v>
      </c>
      <c r="C16" s="74"/>
      <c r="D16" s="75"/>
      <c r="E16" s="37">
        <v>2000142</v>
      </c>
      <c r="F16" s="10" t="s">
        <v>4</v>
      </c>
      <c r="G16" s="13"/>
      <c r="H16" s="26"/>
      <c r="I16" s="1"/>
    </row>
    <row r="17" spans="1:9" x14ac:dyDescent="0.25">
      <c r="A17" s="1"/>
      <c r="B17" s="73" t="s">
        <v>55</v>
      </c>
      <c r="C17" s="74"/>
      <c r="D17" s="75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3" t="s">
        <v>56</v>
      </c>
      <c r="C18" s="74"/>
      <c r="D18" s="75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0" t="s">
        <v>57</v>
      </c>
      <c r="C19" s="81"/>
      <c r="D19" s="82"/>
      <c r="E19" s="32">
        <f>SUM(E16:E18)</f>
        <v>2000142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0" t="s">
        <v>58</v>
      </c>
      <c r="C20" s="71"/>
      <c r="D20" s="72"/>
      <c r="E20" s="37">
        <v>-433905.44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0" t="s">
        <v>59</v>
      </c>
      <c r="C21" s="71"/>
      <c r="D21" s="72"/>
      <c r="E21" s="37">
        <v>-8420139</v>
      </c>
      <c r="F21" s="10" t="s">
        <v>4</v>
      </c>
      <c r="G21" s="13"/>
      <c r="H21" s="26"/>
      <c r="I21" s="1"/>
    </row>
    <row r="22" spans="1:9" x14ac:dyDescent="0.25">
      <c r="A22" s="1"/>
      <c r="B22" s="73" t="s">
        <v>60</v>
      </c>
      <c r="C22" s="74"/>
      <c r="D22" s="75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3" t="s">
        <v>61</v>
      </c>
      <c r="C23" s="74"/>
      <c r="D23" s="75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0" t="s">
        <v>62</v>
      </c>
      <c r="C24" s="71"/>
      <c r="D24" s="72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0" t="s">
        <v>63</v>
      </c>
      <c r="C25" s="71"/>
      <c r="D25" s="72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0" t="s">
        <v>64</v>
      </c>
      <c r="C26" s="71"/>
      <c r="D26" s="72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0" t="s">
        <v>65</v>
      </c>
      <c r="C27" s="81"/>
      <c r="D27" s="82"/>
      <c r="E27" s="32">
        <f>SUM(E20:E26)</f>
        <v>-8854044.4399999995</v>
      </c>
      <c r="F27" s="16" t="s">
        <v>4</v>
      </c>
      <c r="G27" s="14"/>
      <c r="H27" s="27"/>
      <c r="I27" s="1"/>
    </row>
    <row r="28" spans="1:9" x14ac:dyDescent="0.25">
      <c r="A28" s="1"/>
      <c r="B28" s="80" t="s">
        <v>66</v>
      </c>
      <c r="C28" s="81"/>
      <c r="D28" s="82"/>
      <c r="E28" s="32">
        <f>E15+E19+E27</f>
        <v>4671375.5600000005</v>
      </c>
      <c r="F28" s="16" t="s">
        <v>4</v>
      </c>
      <c r="G28" s="31">
        <f>IF(E28&lt;0,0,-E28)</f>
        <v>-4671375.5600000005</v>
      </c>
      <c r="H28" s="16" t="s">
        <v>4</v>
      </c>
      <c r="I28" s="1"/>
    </row>
    <row r="29" spans="1:9" x14ac:dyDescent="0.25">
      <c r="A29" s="1"/>
      <c r="B29" s="83" t="s">
        <v>67</v>
      </c>
      <c r="C29" s="84"/>
      <c r="D29" s="84"/>
      <c r="E29" s="84"/>
      <c r="F29" s="84"/>
      <c r="G29" s="84"/>
      <c r="H29" s="85"/>
      <c r="I29" s="1"/>
    </row>
    <row r="30" spans="1:9" x14ac:dyDescent="0.25">
      <c r="A30" s="1"/>
      <c r="B30" s="80" t="s">
        <v>67</v>
      </c>
      <c r="C30" s="81"/>
      <c r="D30" s="82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132</v>
      </c>
      <c r="C31" s="84"/>
      <c r="D31" s="84"/>
      <c r="E31" s="84"/>
      <c r="F31" s="84"/>
      <c r="G31" s="84"/>
      <c r="H31" s="85"/>
      <c r="I31" s="1"/>
    </row>
    <row r="32" spans="1:9" ht="30" customHeight="1" x14ac:dyDescent="0.25">
      <c r="A32" s="1"/>
      <c r="B32" s="70" t="s">
        <v>133</v>
      </c>
      <c r="C32" s="71"/>
      <c r="D32" s="72"/>
      <c r="E32" s="37">
        <v>35546894.810000002</v>
      </c>
      <c r="F32" s="10" t="s">
        <v>4</v>
      </c>
      <c r="G32" s="19"/>
      <c r="H32" s="25"/>
      <c r="I32" s="1"/>
    </row>
    <row r="33" spans="1:9" x14ac:dyDescent="0.25">
      <c r="A33" s="1"/>
      <c r="B33" s="73" t="s">
        <v>68</v>
      </c>
      <c r="C33" s="74"/>
      <c r="D33" s="75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0" t="s">
        <v>69</v>
      </c>
      <c r="C34" s="71"/>
      <c r="D34" s="72"/>
      <c r="E34" s="37">
        <v>76539</v>
      </c>
      <c r="F34" s="10" t="s">
        <v>4</v>
      </c>
      <c r="G34" s="14"/>
      <c r="H34" s="27"/>
      <c r="I34" s="1"/>
    </row>
    <row r="35" spans="1:9" x14ac:dyDescent="0.25">
      <c r="A35" s="1"/>
      <c r="B35" s="80" t="s">
        <v>70</v>
      </c>
      <c r="C35" s="81"/>
      <c r="D35" s="82"/>
      <c r="E35" s="32">
        <f>SUM(E32:E34)</f>
        <v>35623433.810000002</v>
      </c>
      <c r="F35" s="16" t="s">
        <v>4</v>
      </c>
      <c r="G35" s="32">
        <f>-E35</f>
        <v>-35623433.810000002</v>
      </c>
      <c r="H35" s="16" t="s">
        <v>4</v>
      </c>
      <c r="I35" s="1"/>
    </row>
    <row r="36" spans="1:9" x14ac:dyDescent="0.25">
      <c r="A36" s="1"/>
      <c r="B36" s="83" t="s">
        <v>46</v>
      </c>
      <c r="C36" s="84"/>
      <c r="D36" s="84"/>
      <c r="E36" s="84"/>
      <c r="F36" s="85"/>
      <c r="G36" s="33">
        <f>$G$9+$G$28+$G$30+$G$35</f>
        <v>-3488912.3700000048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134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109</v>
      </c>
      <c r="C8" s="84"/>
      <c r="D8" s="84"/>
      <c r="E8" s="84"/>
      <c r="F8" s="84"/>
      <c r="G8" s="84"/>
      <c r="H8" s="85"/>
      <c r="I8" s="1"/>
    </row>
    <row r="9" spans="1:9" ht="30" customHeight="1" x14ac:dyDescent="0.25">
      <c r="A9" s="1"/>
      <c r="B9" s="70" t="s">
        <v>31</v>
      </c>
      <c r="C9" s="71"/>
      <c r="D9" s="72"/>
      <c r="E9" s="34">
        <f>'Fane 3. Grundlag'!G12</f>
        <v>44442891.732185744</v>
      </c>
      <c r="F9" s="7" t="s">
        <v>4</v>
      </c>
      <c r="G9" s="8"/>
      <c r="H9" s="9"/>
      <c r="I9" s="1"/>
    </row>
    <row r="10" spans="1:9" x14ac:dyDescent="0.25">
      <c r="A10" s="1"/>
      <c r="B10" s="79" t="s">
        <v>97</v>
      </c>
      <c r="C10" s="74"/>
      <c r="D10" s="75"/>
      <c r="E10" s="20">
        <f>'Fane 3. Grundlag'!G11</f>
        <v>18249593.285177797</v>
      </c>
      <c r="F10" s="7" t="s">
        <v>4</v>
      </c>
      <c r="G10" s="11"/>
      <c r="H10" s="12"/>
      <c r="I10" s="1"/>
    </row>
    <row r="11" spans="1:9" x14ac:dyDescent="0.25">
      <c r="A11" s="1"/>
      <c r="B11" s="73" t="s">
        <v>25</v>
      </c>
      <c r="C11" s="74"/>
      <c r="D11" s="75"/>
      <c r="E11" s="20">
        <f>'Fane 4. Individuelt eff.krav'!G11</f>
        <v>252244.95977131918</v>
      </c>
      <c r="F11" s="7" t="s">
        <v>4</v>
      </c>
      <c r="G11" s="13"/>
      <c r="H11" s="12"/>
      <c r="I11" s="1"/>
    </row>
    <row r="12" spans="1:9" x14ac:dyDescent="0.25">
      <c r="A12" s="1"/>
      <c r="B12" s="73" t="s">
        <v>26</v>
      </c>
      <c r="C12" s="74"/>
      <c r="D12" s="75"/>
      <c r="E12" s="20">
        <f>'Fane 5. Generelt eff.krav'!G15</f>
        <v>353735.75423504901</v>
      </c>
      <c r="F12" s="7" t="s">
        <v>4</v>
      </c>
      <c r="G12" s="14"/>
      <c r="H12" s="15"/>
      <c r="I12" s="1"/>
    </row>
    <row r="13" spans="1:9" x14ac:dyDescent="0.25">
      <c r="A13" s="1"/>
      <c r="B13" s="80" t="s">
        <v>43</v>
      </c>
      <c r="C13" s="81"/>
      <c r="D13" s="82"/>
      <c r="E13" s="32">
        <f>$E$9-$E$11-$E$12</f>
        <v>43836911.018179372</v>
      </c>
      <c r="F13" s="17" t="s">
        <v>4</v>
      </c>
      <c r="G13" s="32">
        <f>E13</f>
        <v>43836911.018179372</v>
      </c>
      <c r="H13" s="17" t="s">
        <v>4</v>
      </c>
      <c r="I13" s="1"/>
    </row>
    <row r="14" spans="1:9" x14ac:dyDescent="0.25">
      <c r="A14" s="1"/>
      <c r="B14" s="83" t="s">
        <v>32</v>
      </c>
      <c r="C14" s="84"/>
      <c r="D14" s="84"/>
      <c r="E14" s="84"/>
      <c r="F14" s="84"/>
      <c r="G14" s="84"/>
      <c r="H14" s="85"/>
      <c r="I14" s="1"/>
    </row>
    <row r="15" spans="1:9" x14ac:dyDescent="0.25">
      <c r="A15" s="1"/>
      <c r="B15" s="76" t="s">
        <v>108</v>
      </c>
      <c r="C15" s="77"/>
      <c r="D15" s="78"/>
      <c r="E15" s="32">
        <f>'Fane 6. Hist. over el. underdæk'!G13</f>
        <v>-2439481.75</v>
      </c>
      <c r="F15" s="17" t="s">
        <v>4</v>
      </c>
      <c r="G15" s="32">
        <f>E15</f>
        <v>-2439481.75</v>
      </c>
      <c r="H15" s="17" t="s">
        <v>4</v>
      </c>
      <c r="I15" s="1"/>
    </row>
    <row r="16" spans="1:9" x14ac:dyDescent="0.25">
      <c r="A16" s="1"/>
      <c r="B16" s="83" t="s">
        <v>28</v>
      </c>
      <c r="C16" s="84"/>
      <c r="D16" s="84"/>
      <c r="E16" s="84"/>
      <c r="F16" s="84"/>
      <c r="G16" s="84"/>
      <c r="H16" s="85"/>
      <c r="I16" s="1"/>
    </row>
    <row r="17" spans="1:9" x14ac:dyDescent="0.25">
      <c r="A17" s="1"/>
      <c r="B17" s="70" t="s">
        <v>35</v>
      </c>
      <c r="C17" s="71"/>
      <c r="D17" s="72"/>
      <c r="E17" s="20">
        <f>'Fane 8. Korrektion af PL2015'!G11</f>
        <v>3074700</v>
      </c>
      <c r="F17" s="7" t="s">
        <v>4</v>
      </c>
      <c r="G17" s="19"/>
      <c r="H17" s="9"/>
      <c r="I17" s="1"/>
    </row>
    <row r="18" spans="1:9" x14ac:dyDescent="0.25">
      <c r="A18" s="1"/>
      <c r="B18" s="70" t="s">
        <v>36</v>
      </c>
      <c r="C18" s="71"/>
      <c r="D18" s="72"/>
      <c r="E18" s="20">
        <f>'Fane 8. Korrektion af PL2015'!G17</f>
        <v>561307.40999999992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0" t="s">
        <v>98</v>
      </c>
      <c r="C19" s="71"/>
      <c r="D19" s="72"/>
      <c r="E19" s="20">
        <f>'Fane 8. Korrektion af PL2015'!G23</f>
        <v>9058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0" t="s">
        <v>37</v>
      </c>
      <c r="C20" s="71"/>
      <c r="D20" s="72"/>
      <c r="E20" s="20">
        <f>'Fane 8. Korrektion af PL2015'!G30</f>
        <v>2366604.7663000012</v>
      </c>
      <c r="F20" s="7" t="s">
        <v>4</v>
      </c>
      <c r="G20" s="14"/>
      <c r="H20" s="15"/>
      <c r="I20" s="1"/>
    </row>
    <row r="21" spans="1:9" x14ac:dyDescent="0.25">
      <c r="A21" s="1"/>
      <c r="B21" s="76" t="s">
        <v>38</v>
      </c>
      <c r="C21" s="77"/>
      <c r="D21" s="78"/>
      <c r="E21" s="32">
        <f>SUM(E17:E20)</f>
        <v>6011670.1763000013</v>
      </c>
      <c r="F21" s="17" t="s">
        <v>4</v>
      </c>
      <c r="G21" s="32">
        <f>E21</f>
        <v>6011670.1763000013</v>
      </c>
      <c r="H21" s="17" t="s">
        <v>4</v>
      </c>
      <c r="I21" s="1"/>
    </row>
    <row r="22" spans="1:9" x14ac:dyDescent="0.25">
      <c r="A22" s="1"/>
      <c r="B22" s="83" t="s">
        <v>33</v>
      </c>
      <c r="C22" s="84"/>
      <c r="D22" s="84"/>
      <c r="E22" s="84"/>
      <c r="F22" s="84"/>
      <c r="G22" s="84"/>
      <c r="H22" s="85"/>
      <c r="I22" s="1"/>
    </row>
    <row r="23" spans="1:9" x14ac:dyDescent="0.25">
      <c r="A23" s="1"/>
      <c r="B23" s="76" t="s">
        <v>34</v>
      </c>
      <c r="C23" s="77"/>
      <c r="D23" s="78"/>
      <c r="E23" s="32">
        <f>'Fane 9. Kontrol af PL2015'!G36</f>
        <v>-3488912.3700000048</v>
      </c>
      <c r="F23" s="17" t="s">
        <v>4</v>
      </c>
      <c r="G23" s="32">
        <f>E23</f>
        <v>-3488912.3700000048</v>
      </c>
      <c r="H23" s="17" t="s">
        <v>4</v>
      </c>
      <c r="I23" s="1"/>
    </row>
    <row r="24" spans="1:9" x14ac:dyDescent="0.25">
      <c r="A24" s="1"/>
      <c r="B24" s="83" t="s">
        <v>39</v>
      </c>
      <c r="C24" s="84"/>
      <c r="D24" s="84"/>
      <c r="E24" s="84"/>
      <c r="F24" s="85"/>
      <c r="G24" s="33">
        <f>G13+G15+G21+G23</f>
        <v>43920187.074479371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10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109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0" t="s">
        <v>40</v>
      </c>
      <c r="C9" s="71"/>
      <c r="D9" s="72"/>
      <c r="E9" s="36">
        <f>'Fane 2.1. Økonomisk ramme 2017'!$E$9-'Fane 2.1. Økonomisk ramme 2017'!$E$11-'Fane 2.1. Økonomisk ramme 2017'!$E$12</f>
        <v>43836911.018179372</v>
      </c>
      <c r="F9" s="7" t="s">
        <v>4</v>
      </c>
      <c r="G9" s="8"/>
      <c r="H9" s="9"/>
      <c r="I9" s="1"/>
    </row>
    <row r="10" spans="1:9" x14ac:dyDescent="0.25">
      <c r="A10" s="1"/>
      <c r="B10" s="79" t="s">
        <v>110</v>
      </c>
      <c r="C10" s="86"/>
      <c r="D10" s="87"/>
      <c r="E10" s="37">
        <f>'Fane 3. Grundlag'!$G$9*(1-'Fane 4. Individuelt eff.krav'!$G$10/100)-'Fane 5. Generelt eff.krav'!G$11</f>
        <v>10271386.257927636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111</v>
      </c>
      <c r="C11" s="86"/>
      <c r="D11" s="87"/>
      <c r="E11" s="37">
        <f>'Fane 3. Grundlag'!$G$10*(1-'Fane 4. Individuelt eff.krav'!$G$10/100)-'Fane 5. Generelt eff.krav'!G$14</f>
        <v>15315931.475073941</v>
      </c>
      <c r="F11" s="7" t="s">
        <v>4</v>
      </c>
      <c r="G11" s="11"/>
      <c r="H11" s="12"/>
      <c r="I11" s="1"/>
    </row>
    <row r="12" spans="1:9" x14ac:dyDescent="0.25">
      <c r="A12" s="1"/>
      <c r="B12" s="79" t="s">
        <v>97</v>
      </c>
      <c r="C12" s="86"/>
      <c r="D12" s="87"/>
      <c r="E12" s="37">
        <f>'Fane 2.1. Økonomisk ramme 2017'!$E$10</f>
        <v>18249593.285177797</v>
      </c>
      <c r="F12" s="7" t="s">
        <v>4</v>
      </c>
      <c r="G12" s="11"/>
      <c r="H12" s="12"/>
      <c r="I12" s="1"/>
    </row>
    <row r="13" spans="1:9" x14ac:dyDescent="0.25">
      <c r="A13" s="1"/>
      <c r="B13" s="73" t="s">
        <v>41</v>
      </c>
      <c r="C13" s="74"/>
      <c r="D13" s="75"/>
      <c r="E13" s="37">
        <f>$E$9*0.0127</f>
        <v>556728.76993087796</v>
      </c>
      <c r="F13" s="7" t="s">
        <v>4</v>
      </c>
      <c r="G13" s="13"/>
      <c r="H13" s="12"/>
      <c r="I13" s="1"/>
    </row>
    <row r="14" spans="1:9" x14ac:dyDescent="0.25">
      <c r="A14" s="1"/>
      <c r="B14" s="73" t="s">
        <v>25</v>
      </c>
      <c r="C14" s="74"/>
      <c r="D14" s="75"/>
      <c r="E14" s="37">
        <f>('Fane 2.2. Økonomisk ramme 2018'!$E$9-'Fane 2.2. Økonomisk ramme 2018'!$E$12)*1.0127*'Fane 4. Individuelt eff.krav'!$G$10/100</f>
        <v>249538.68253666739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352631.48125028738</v>
      </c>
      <c r="F15" s="7" t="s">
        <v>4</v>
      </c>
      <c r="G15" s="14"/>
      <c r="H15" s="15"/>
      <c r="I15" s="1"/>
    </row>
    <row r="16" spans="1:9" x14ac:dyDescent="0.25">
      <c r="A16" s="1"/>
      <c r="B16" s="80" t="s">
        <v>43</v>
      </c>
      <c r="C16" s="81"/>
      <c r="D16" s="82"/>
      <c r="E16" s="32">
        <f>$E$9+$E$13-$E$14-$E$15</f>
        <v>43791469.624323294</v>
      </c>
      <c r="F16" s="17" t="s">
        <v>4</v>
      </c>
      <c r="G16" s="32">
        <f>E16</f>
        <v>43791469.624323294</v>
      </c>
      <c r="H16" s="17" t="s">
        <v>4</v>
      </c>
      <c r="I16" s="1"/>
    </row>
    <row r="17" spans="1:9" x14ac:dyDescent="0.25">
      <c r="A17" s="1"/>
      <c r="B17" s="83" t="s">
        <v>32</v>
      </c>
      <c r="C17" s="84"/>
      <c r="D17" s="84"/>
      <c r="E17" s="84"/>
      <c r="F17" s="84"/>
      <c r="G17" s="84"/>
      <c r="H17" s="85"/>
      <c r="I17" s="1"/>
    </row>
    <row r="18" spans="1:9" ht="15" customHeight="1" x14ac:dyDescent="0.25">
      <c r="A18" s="1"/>
      <c r="B18" s="76" t="s">
        <v>108</v>
      </c>
      <c r="C18" s="77"/>
      <c r="D18" s="78"/>
      <c r="E18" s="35">
        <f>IF('Fane 6. Hist. over el. underdæk'!$G$12&gt;1,'Fane 6. Hist. over el. underdæk'!$G$13,0)</f>
        <v>-2439481.75</v>
      </c>
      <c r="F18" s="17" t="s">
        <v>4</v>
      </c>
      <c r="G18" s="32">
        <f>E18</f>
        <v>-2439481.75</v>
      </c>
      <c r="H18" s="17" t="s">
        <v>4</v>
      </c>
      <c r="I18" s="1"/>
    </row>
    <row r="19" spans="1:9" x14ac:dyDescent="0.25">
      <c r="A19" s="1"/>
      <c r="B19" s="83" t="s">
        <v>42</v>
      </c>
      <c r="C19" s="84"/>
      <c r="D19" s="84"/>
      <c r="E19" s="84"/>
      <c r="F19" s="85"/>
      <c r="G19" s="33">
        <f>G16+G18</f>
        <v>41351987.874323294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9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44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3" t="s">
        <v>99</v>
      </c>
      <c r="C9" s="74"/>
      <c r="D9" s="74"/>
      <c r="E9" s="74"/>
      <c r="F9" s="75"/>
      <c r="G9" s="37">
        <v>10585021.868557494</v>
      </c>
      <c r="H9" s="10" t="s">
        <v>4</v>
      </c>
      <c r="I9" s="1"/>
    </row>
    <row r="10" spans="1:9" x14ac:dyDescent="0.25">
      <c r="A10" s="1"/>
      <c r="B10" s="73" t="s">
        <v>100</v>
      </c>
      <c r="C10" s="74"/>
      <c r="D10" s="74"/>
      <c r="E10" s="74"/>
      <c r="F10" s="75"/>
      <c r="G10" s="37">
        <v>15608276.578450453</v>
      </c>
      <c r="H10" s="10" t="s">
        <v>4</v>
      </c>
      <c r="I10" s="1"/>
    </row>
    <row r="11" spans="1:9" x14ac:dyDescent="0.25">
      <c r="A11" s="1"/>
      <c r="B11" s="73" t="s">
        <v>101</v>
      </c>
      <c r="C11" s="74"/>
      <c r="D11" s="74"/>
      <c r="E11" s="74"/>
      <c r="F11" s="75"/>
      <c r="G11" s="37">
        <v>18249593.285177797</v>
      </c>
      <c r="H11" s="10" t="s">
        <v>4</v>
      </c>
      <c r="I11" s="1"/>
    </row>
    <row r="12" spans="1:9" x14ac:dyDescent="0.25">
      <c r="A12" s="1"/>
      <c r="B12" s="83" t="s">
        <v>44</v>
      </c>
      <c r="C12" s="84"/>
      <c r="D12" s="84"/>
      <c r="E12" s="84"/>
      <c r="F12" s="85"/>
      <c r="G12" s="33">
        <f>SUM(G9:G11)</f>
        <v>44442891.732185744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27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25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3" t="s">
        <v>103</v>
      </c>
      <c r="C9" s="74"/>
      <c r="D9" s="74"/>
      <c r="E9" s="74"/>
      <c r="F9" s="75"/>
      <c r="G9" s="20">
        <f>'Fane 3. Grundlag'!G12-'Fane 3. Grundlag'!G11</f>
        <v>26193298.447007947</v>
      </c>
      <c r="H9" s="10" t="s">
        <v>4</v>
      </c>
      <c r="I9" s="1"/>
    </row>
    <row r="10" spans="1:9" x14ac:dyDescent="0.25">
      <c r="A10" s="1"/>
      <c r="B10" s="73" t="s">
        <v>71</v>
      </c>
      <c r="C10" s="74"/>
      <c r="D10" s="74"/>
      <c r="E10" s="74"/>
      <c r="F10" s="75"/>
      <c r="G10" s="44">
        <v>0.96301334588173282</v>
      </c>
      <c r="H10" s="10" t="s">
        <v>72</v>
      </c>
      <c r="I10" s="1"/>
    </row>
    <row r="11" spans="1:9" x14ac:dyDescent="0.25">
      <c r="A11" s="1"/>
      <c r="B11" s="83" t="s">
        <v>25</v>
      </c>
      <c r="C11" s="84"/>
      <c r="D11" s="84"/>
      <c r="E11" s="84"/>
      <c r="F11" s="85"/>
      <c r="G11" s="33">
        <f>$G$9*$G$10/100</f>
        <v>252244.95977131918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8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10585021.868557494</v>
      </c>
      <c r="H9" s="10" t="s">
        <v>4</v>
      </c>
      <c r="I9" s="1"/>
    </row>
    <row r="10" spans="1:9" x14ac:dyDescent="0.25">
      <c r="A10" s="1"/>
      <c r="B10" s="73" t="s">
        <v>26</v>
      </c>
      <c r="C10" s="74"/>
      <c r="D10" s="74"/>
      <c r="E10" s="74"/>
      <c r="F10" s="75"/>
      <c r="G10" s="42">
        <f>2</f>
        <v>2</v>
      </c>
      <c r="H10" s="10" t="s">
        <v>72</v>
      </c>
      <c r="I10" s="1"/>
    </row>
    <row r="11" spans="1:9" x14ac:dyDescent="0.25">
      <c r="A11" s="1"/>
      <c r="B11" s="80" t="s">
        <v>73</v>
      </c>
      <c r="C11" s="81"/>
      <c r="D11" s="81"/>
      <c r="E11" s="81"/>
      <c r="F11" s="82"/>
      <c r="G11" s="32">
        <f>$G$9*$G$10/100</f>
        <v>211700.43737114989</v>
      </c>
      <c r="H11" s="16" t="s">
        <v>4</v>
      </c>
      <c r="I11" s="1"/>
    </row>
    <row r="12" spans="1:9" x14ac:dyDescent="0.25">
      <c r="A12" s="1"/>
      <c r="B12" s="73" t="s">
        <v>100</v>
      </c>
      <c r="C12" s="74"/>
      <c r="D12" s="74"/>
      <c r="E12" s="74"/>
      <c r="F12" s="75"/>
      <c r="G12" s="20">
        <f>'Fane 3. Grundlag'!G10</f>
        <v>15608276.578450453</v>
      </c>
      <c r="H12" s="10" t="s">
        <v>4</v>
      </c>
      <c r="I12" s="1"/>
    </row>
    <row r="13" spans="1:9" x14ac:dyDescent="0.25">
      <c r="A13" s="1"/>
      <c r="B13" s="73" t="s">
        <v>26</v>
      </c>
      <c r="C13" s="74"/>
      <c r="D13" s="74"/>
      <c r="E13" s="74"/>
      <c r="F13" s="75"/>
      <c r="G13" s="43">
        <f>0.91</f>
        <v>0.91</v>
      </c>
      <c r="H13" s="10" t="s">
        <v>72</v>
      </c>
      <c r="I13" s="1"/>
    </row>
    <row r="14" spans="1:9" x14ac:dyDescent="0.25">
      <c r="A14" s="1"/>
      <c r="B14" s="80" t="s">
        <v>74</v>
      </c>
      <c r="C14" s="81"/>
      <c r="D14" s="81"/>
      <c r="E14" s="81"/>
      <c r="F14" s="82"/>
      <c r="G14" s="32">
        <f>$G$12*$G$13/100</f>
        <v>142035.31686389912</v>
      </c>
      <c r="H14" s="16" t="s">
        <v>4</v>
      </c>
      <c r="I14" s="1"/>
    </row>
    <row r="15" spans="1:9" x14ac:dyDescent="0.25">
      <c r="A15" s="1"/>
      <c r="B15" s="83" t="s">
        <v>104</v>
      </c>
      <c r="C15" s="84"/>
      <c r="D15" s="84"/>
      <c r="E15" s="84"/>
      <c r="F15" s="85"/>
      <c r="G15" s="33">
        <f>G11+G14</f>
        <v>353735.75423504901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3.28515625" customWidth="1"/>
    <col min="7" max="7" width="10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106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107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3" t="s">
        <v>76</v>
      </c>
      <c r="C9" s="74"/>
      <c r="D9" s="74"/>
      <c r="E9" s="74"/>
      <c r="F9" s="75"/>
      <c r="G9" s="37">
        <v>-24212000</v>
      </c>
      <c r="H9" s="10" t="s">
        <v>4</v>
      </c>
      <c r="I9" s="1"/>
    </row>
    <row r="10" spans="1:9" x14ac:dyDescent="0.25">
      <c r="A10" s="1"/>
      <c r="B10" s="73" t="s">
        <v>77</v>
      </c>
      <c r="C10" s="74"/>
      <c r="D10" s="74"/>
      <c r="E10" s="74"/>
      <c r="F10" s="75"/>
      <c r="G10" s="37">
        <v>-14454073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-9757927</v>
      </c>
      <c r="H11" s="23" t="s">
        <v>4</v>
      </c>
      <c r="I11" s="1"/>
    </row>
    <row r="12" spans="1:9" x14ac:dyDescent="0.25">
      <c r="A12" s="1"/>
      <c r="B12" s="73" t="s">
        <v>78</v>
      </c>
      <c r="C12" s="74"/>
      <c r="D12" s="74"/>
      <c r="E12" s="74"/>
      <c r="F12" s="75"/>
      <c r="G12" s="37">
        <v>4</v>
      </c>
      <c r="H12" s="10" t="s">
        <v>4</v>
      </c>
      <c r="I12" s="1"/>
    </row>
    <row r="13" spans="1:9" x14ac:dyDescent="0.25">
      <c r="A13" s="1"/>
      <c r="B13" s="83" t="s">
        <v>75</v>
      </c>
      <c r="C13" s="84"/>
      <c r="D13" s="84"/>
      <c r="E13" s="84"/>
      <c r="F13" s="85"/>
      <c r="G13" s="33">
        <f>G11/G12</f>
        <v>-2439481.75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9" t="s">
        <v>30</v>
      </c>
      <c r="C3" s="69"/>
      <c r="D3" s="69"/>
      <c r="E3" s="69"/>
      <c r="F3" s="69"/>
      <c r="G3" s="69"/>
      <c r="H3" s="1"/>
    </row>
    <row r="4" spans="1:8" ht="15" customHeight="1" x14ac:dyDescent="0.25">
      <c r="A4" s="1"/>
      <c r="B4" s="69"/>
      <c r="C4" s="69"/>
      <c r="D4" s="69"/>
      <c r="E4" s="69"/>
      <c r="F4" s="69"/>
      <c r="G4" s="69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3" t="s">
        <v>5</v>
      </c>
      <c r="C8" s="84"/>
      <c r="D8" s="84"/>
      <c r="E8" s="84"/>
      <c r="F8" s="84"/>
      <c r="G8" s="8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75</v>
      </c>
      <c r="E10" s="37">
        <v>12248231</v>
      </c>
      <c r="F10" s="20">
        <f>E10/D10</f>
        <v>163309.74666666667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10</v>
      </c>
      <c r="E11" s="37">
        <v>309968.86</v>
      </c>
      <c r="F11" s="20">
        <f t="shared" ref="F11:F42" si="0">E11/D11</f>
        <v>30996.885999999999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50</v>
      </c>
      <c r="E12" s="37">
        <v>6058387</v>
      </c>
      <c r="F12" s="20">
        <f t="shared" si="0"/>
        <v>121167.74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25</v>
      </c>
      <c r="E13" s="37">
        <v>6058387</v>
      </c>
      <c r="F13" s="20">
        <f t="shared" si="0"/>
        <v>242335.48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25</v>
      </c>
      <c r="E14" s="37">
        <v>6058387</v>
      </c>
      <c r="F14" s="20">
        <f t="shared" si="0"/>
        <v>242335.48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25</v>
      </c>
      <c r="E15" s="37">
        <v>3218520</v>
      </c>
      <c r="F15" s="20">
        <f t="shared" si="0"/>
        <v>128740.8</v>
      </c>
      <c r="G15" s="10" t="s">
        <v>4</v>
      </c>
      <c r="H15" s="1"/>
    </row>
    <row r="16" spans="1:8" x14ac:dyDescent="0.25">
      <c r="A16" s="1"/>
      <c r="B16" s="41" t="s">
        <v>114</v>
      </c>
      <c r="C16" s="39">
        <v>2015</v>
      </c>
      <c r="D16" s="39">
        <v>10</v>
      </c>
      <c r="E16" s="37">
        <v>3218520</v>
      </c>
      <c r="F16" s="20">
        <f t="shared" si="0"/>
        <v>321852</v>
      </c>
      <c r="G16" s="10" t="s">
        <v>4</v>
      </c>
      <c r="H16" s="1"/>
    </row>
    <row r="17" spans="1:8" x14ac:dyDescent="0.25">
      <c r="A17" s="1"/>
      <c r="B17" s="41" t="s">
        <v>119</v>
      </c>
      <c r="C17" s="39">
        <v>2015</v>
      </c>
      <c r="D17" s="39">
        <v>30</v>
      </c>
      <c r="E17" s="37">
        <v>315000</v>
      </c>
      <c r="F17" s="20">
        <f t="shared" si="0"/>
        <v>10500</v>
      </c>
      <c r="G17" s="10" t="s">
        <v>4</v>
      </c>
      <c r="H17" s="1"/>
    </row>
    <row r="18" spans="1:8" x14ac:dyDescent="0.25">
      <c r="A18" s="1"/>
      <c r="B18" s="41" t="s">
        <v>120</v>
      </c>
      <c r="C18" s="39">
        <v>2015</v>
      </c>
      <c r="D18" s="39">
        <v>15</v>
      </c>
      <c r="E18" s="37">
        <v>134714</v>
      </c>
      <c r="F18" s="20">
        <f t="shared" si="0"/>
        <v>8980.9333333333325</v>
      </c>
      <c r="G18" s="10" t="s">
        <v>4</v>
      </c>
      <c r="H18" s="1"/>
    </row>
    <row r="19" spans="1:8" x14ac:dyDescent="0.25">
      <c r="A19" s="1"/>
      <c r="B19" s="41" t="s">
        <v>121</v>
      </c>
      <c r="C19" s="39">
        <v>2015</v>
      </c>
      <c r="D19" s="39">
        <v>8</v>
      </c>
      <c r="E19" s="37">
        <v>791294.07</v>
      </c>
      <c r="F19" s="20">
        <f t="shared" si="0"/>
        <v>98911.758749999994</v>
      </c>
      <c r="G19" s="10" t="s">
        <v>4</v>
      </c>
      <c r="H19" s="1"/>
    </row>
    <row r="20" spans="1:8" x14ac:dyDescent="0.25">
      <c r="A20" s="1"/>
      <c r="B20" s="41" t="s">
        <v>122</v>
      </c>
      <c r="C20" s="39">
        <v>2015</v>
      </c>
      <c r="D20" s="39">
        <v>5</v>
      </c>
      <c r="E20" s="37">
        <v>254000</v>
      </c>
      <c r="F20" s="20">
        <f t="shared" si="0"/>
        <v>50800</v>
      </c>
      <c r="G20" s="10" t="s">
        <v>4</v>
      </c>
      <c r="H20" s="1"/>
    </row>
    <row r="21" spans="1:8" x14ac:dyDescent="0.25">
      <c r="A21" s="1"/>
      <c r="B21" s="41" t="s">
        <v>123</v>
      </c>
      <c r="C21" s="39">
        <v>2015</v>
      </c>
      <c r="D21" s="39">
        <v>5</v>
      </c>
      <c r="E21" s="37">
        <v>84768</v>
      </c>
      <c r="F21" s="20">
        <f t="shared" si="0"/>
        <v>16953.599999999999</v>
      </c>
      <c r="G21" s="10" t="s">
        <v>4</v>
      </c>
      <c r="H21" s="1"/>
    </row>
    <row r="22" spans="1:8" x14ac:dyDescent="0.25">
      <c r="A22" s="1"/>
      <c r="B22" s="41" t="s">
        <v>124</v>
      </c>
      <c r="C22" s="39">
        <v>2015</v>
      </c>
      <c r="D22" s="39">
        <v>75</v>
      </c>
      <c r="E22" s="37">
        <v>42178.18</v>
      </c>
      <c r="F22" s="20">
        <f t="shared" si="0"/>
        <v>562.3757333333333</v>
      </c>
      <c r="G22" s="10" t="s">
        <v>4</v>
      </c>
      <c r="H22" s="1"/>
    </row>
    <row r="23" spans="1:8" x14ac:dyDescent="0.25">
      <c r="A23" s="1"/>
      <c r="B23" s="41" t="s">
        <v>124</v>
      </c>
      <c r="C23" s="39">
        <v>2015</v>
      </c>
      <c r="D23" s="39">
        <v>75</v>
      </c>
      <c r="E23" s="37">
        <v>341742.57</v>
      </c>
      <c r="F23" s="20">
        <f t="shared" si="0"/>
        <v>4556.5676000000003</v>
      </c>
      <c r="G23" s="10" t="s">
        <v>4</v>
      </c>
      <c r="H23" s="1"/>
    </row>
    <row r="24" spans="1:8" x14ac:dyDescent="0.25">
      <c r="A24" s="1"/>
      <c r="B24" s="41" t="s">
        <v>124</v>
      </c>
      <c r="C24" s="39">
        <v>2015</v>
      </c>
      <c r="D24" s="39">
        <v>75</v>
      </c>
      <c r="E24" s="37">
        <v>736806.91</v>
      </c>
      <c r="F24" s="20">
        <f t="shared" si="0"/>
        <v>9824.0921333333335</v>
      </c>
      <c r="G24" s="10" t="s">
        <v>4</v>
      </c>
      <c r="H24" s="1"/>
    </row>
    <row r="25" spans="1:8" x14ac:dyDescent="0.25">
      <c r="A25" s="1"/>
      <c r="B25" s="41" t="s">
        <v>124</v>
      </c>
      <c r="C25" s="39">
        <v>2015</v>
      </c>
      <c r="D25" s="39">
        <v>75</v>
      </c>
      <c r="E25" s="37">
        <v>157142.64000000001</v>
      </c>
      <c r="F25" s="20">
        <f t="shared" si="0"/>
        <v>2095.2352000000001</v>
      </c>
      <c r="G25" s="10" t="s">
        <v>4</v>
      </c>
      <c r="H25" s="1"/>
    </row>
    <row r="26" spans="1:8" x14ac:dyDescent="0.25">
      <c r="A26" s="1"/>
      <c r="B26" s="41" t="s">
        <v>125</v>
      </c>
      <c r="C26" s="39">
        <v>2015</v>
      </c>
      <c r="D26" s="39">
        <v>25</v>
      </c>
      <c r="E26" s="37">
        <v>873061.24</v>
      </c>
      <c r="F26" s="20">
        <f t="shared" si="0"/>
        <v>34922.4496</v>
      </c>
      <c r="G26" s="10" t="s">
        <v>4</v>
      </c>
      <c r="H26" s="1"/>
    </row>
    <row r="27" spans="1:8" x14ac:dyDescent="0.25">
      <c r="A27" s="1"/>
      <c r="B27" s="41" t="s">
        <v>126</v>
      </c>
      <c r="C27" s="39">
        <v>2015</v>
      </c>
      <c r="D27" s="39">
        <v>15</v>
      </c>
      <c r="E27" s="37">
        <v>59275.89</v>
      </c>
      <c r="F27" s="20">
        <f t="shared" si="0"/>
        <v>3951.7260000000001</v>
      </c>
      <c r="G27" s="10" t="s">
        <v>4</v>
      </c>
      <c r="H27" s="1"/>
    </row>
    <row r="28" spans="1:8" x14ac:dyDescent="0.25">
      <c r="A28" s="1"/>
      <c r="B28" s="41" t="s">
        <v>119</v>
      </c>
      <c r="C28" s="39">
        <v>2015</v>
      </c>
      <c r="D28" s="39">
        <v>15</v>
      </c>
      <c r="E28" s="37">
        <v>35118.550000000003</v>
      </c>
      <c r="F28" s="20">
        <f t="shared" si="0"/>
        <v>2341.2366666666667</v>
      </c>
      <c r="G28" s="10" t="s">
        <v>4</v>
      </c>
      <c r="H28" s="1"/>
    </row>
    <row r="29" spans="1:8" x14ac:dyDescent="0.25">
      <c r="A29" s="1"/>
      <c r="B29" s="41" t="s">
        <v>127</v>
      </c>
      <c r="C29" s="39">
        <v>2015</v>
      </c>
      <c r="D29" s="39">
        <v>75</v>
      </c>
      <c r="E29" s="37">
        <v>946871.62</v>
      </c>
      <c r="F29" s="20">
        <f t="shared" si="0"/>
        <v>12624.954933333333</v>
      </c>
      <c r="G29" s="10" t="s">
        <v>4</v>
      </c>
      <c r="H29" s="1"/>
    </row>
    <row r="30" spans="1:8" x14ac:dyDescent="0.25">
      <c r="A30" s="1"/>
      <c r="B30" s="41" t="s">
        <v>128</v>
      </c>
      <c r="C30" s="39">
        <v>2015</v>
      </c>
      <c r="D30" s="39">
        <v>75</v>
      </c>
      <c r="E30" s="37">
        <v>49372.18</v>
      </c>
      <c r="F30" s="20">
        <f t="shared" si="0"/>
        <v>658.29573333333337</v>
      </c>
      <c r="G30" s="10" t="s">
        <v>4</v>
      </c>
      <c r="H30" s="1"/>
    </row>
    <row r="31" spans="1:8" x14ac:dyDescent="0.25">
      <c r="A31" s="1"/>
      <c r="B31" s="41" t="s">
        <v>129</v>
      </c>
      <c r="C31" s="39">
        <v>2015</v>
      </c>
      <c r="D31" s="39">
        <v>75</v>
      </c>
      <c r="E31" s="37">
        <v>945618.46</v>
      </c>
      <c r="F31" s="20">
        <f t="shared" si="0"/>
        <v>12608.246133333332</v>
      </c>
      <c r="G31" s="10" t="s">
        <v>4</v>
      </c>
      <c r="H31" s="1"/>
    </row>
    <row r="32" spans="1:8" x14ac:dyDescent="0.25">
      <c r="A32" s="1"/>
      <c r="B32" s="41" t="s">
        <v>124</v>
      </c>
      <c r="C32" s="39">
        <v>2015</v>
      </c>
      <c r="D32" s="39">
        <v>75</v>
      </c>
      <c r="E32" s="37">
        <v>1426920.23</v>
      </c>
      <c r="F32" s="20">
        <f t="shared" si="0"/>
        <v>19025.603066666667</v>
      </c>
      <c r="G32" s="10" t="s">
        <v>4</v>
      </c>
      <c r="H32" s="1"/>
    </row>
    <row r="33" spans="1:8" x14ac:dyDescent="0.25">
      <c r="A33" s="1"/>
      <c r="B33" s="41" t="s">
        <v>130</v>
      </c>
      <c r="C33" s="39">
        <v>2015</v>
      </c>
      <c r="D33" s="39">
        <v>75</v>
      </c>
      <c r="E33" s="37">
        <v>536280.79</v>
      </c>
      <c r="F33" s="20">
        <f t="shared" si="0"/>
        <v>7150.4105333333337</v>
      </c>
      <c r="G33" s="10" t="s">
        <v>4</v>
      </c>
      <c r="H33" s="1"/>
    </row>
    <row r="34" spans="1:8" x14ac:dyDescent="0.25">
      <c r="A34" s="1"/>
      <c r="B34" s="41" t="s">
        <v>124</v>
      </c>
      <c r="C34" s="39">
        <v>2015</v>
      </c>
      <c r="D34" s="39">
        <v>75</v>
      </c>
      <c r="E34" s="37">
        <v>3396852.26</v>
      </c>
      <c r="F34" s="20">
        <f t="shared" si="0"/>
        <v>45291.363466666662</v>
      </c>
      <c r="G34" s="10" t="s">
        <v>4</v>
      </c>
      <c r="H34" s="1"/>
    </row>
    <row r="35" spans="1:8" x14ac:dyDescent="0.25">
      <c r="A35" s="1"/>
      <c r="B35" s="41" t="s">
        <v>124</v>
      </c>
      <c r="C35" s="39">
        <v>2015</v>
      </c>
      <c r="D35" s="39">
        <v>75</v>
      </c>
      <c r="E35" s="37">
        <v>572893.26</v>
      </c>
      <c r="F35" s="20">
        <f t="shared" si="0"/>
        <v>7638.5767999999998</v>
      </c>
      <c r="G35" s="10" t="s">
        <v>4</v>
      </c>
      <c r="H35" s="1"/>
    </row>
    <row r="36" spans="1:8" x14ac:dyDescent="0.25">
      <c r="A36" s="1"/>
      <c r="B36" s="41" t="s">
        <v>124</v>
      </c>
      <c r="C36" s="39">
        <v>2015</v>
      </c>
      <c r="D36" s="39">
        <v>75</v>
      </c>
      <c r="E36" s="37">
        <v>282213.43</v>
      </c>
      <c r="F36" s="20">
        <f t="shared" si="0"/>
        <v>3762.8457333333331</v>
      </c>
      <c r="G36" s="10" t="s">
        <v>4</v>
      </c>
      <c r="H36" s="1"/>
    </row>
    <row r="37" spans="1:8" x14ac:dyDescent="0.25">
      <c r="A37" s="1"/>
      <c r="B37" s="41" t="s">
        <v>124</v>
      </c>
      <c r="C37" s="39">
        <v>2015</v>
      </c>
      <c r="D37" s="39">
        <v>75</v>
      </c>
      <c r="E37" s="37">
        <v>1439902.31</v>
      </c>
      <c r="F37" s="20">
        <f t="shared" si="0"/>
        <v>19198.697466666668</v>
      </c>
      <c r="G37" s="10" t="s">
        <v>4</v>
      </c>
      <c r="H37" s="1"/>
    </row>
    <row r="38" spans="1:8" x14ac:dyDescent="0.25">
      <c r="A38" s="1"/>
      <c r="B38" s="41" t="s">
        <v>124</v>
      </c>
      <c r="C38" s="39">
        <v>2015</v>
      </c>
      <c r="D38" s="39">
        <v>75</v>
      </c>
      <c r="E38" s="37">
        <v>486354.07</v>
      </c>
      <c r="F38" s="20">
        <f t="shared" si="0"/>
        <v>6484.7209333333331</v>
      </c>
      <c r="G38" s="10" t="s">
        <v>4</v>
      </c>
      <c r="H38" s="1"/>
    </row>
    <row r="39" spans="1:8" x14ac:dyDescent="0.25">
      <c r="A39" s="1"/>
      <c r="B39" s="41" t="s">
        <v>129</v>
      </c>
      <c r="C39" s="39">
        <v>2015</v>
      </c>
      <c r="D39" s="39">
        <v>75</v>
      </c>
      <c r="E39" s="37">
        <v>570321.26</v>
      </c>
      <c r="F39" s="20">
        <f t="shared" si="0"/>
        <v>7604.2834666666668</v>
      </c>
      <c r="G39" s="10" t="s">
        <v>4</v>
      </c>
      <c r="H39" s="1"/>
    </row>
    <row r="40" spans="1:8" x14ac:dyDescent="0.25">
      <c r="A40" s="1"/>
      <c r="B40" s="41" t="s">
        <v>124</v>
      </c>
      <c r="C40" s="39">
        <v>2015</v>
      </c>
      <c r="D40" s="39">
        <v>75</v>
      </c>
      <c r="E40" s="37">
        <v>86333.66</v>
      </c>
      <c r="F40" s="20">
        <f t="shared" si="0"/>
        <v>1151.1154666666666</v>
      </c>
      <c r="G40" s="10" t="s">
        <v>4</v>
      </c>
      <c r="H40" s="1"/>
    </row>
    <row r="41" spans="1:8" x14ac:dyDescent="0.25">
      <c r="A41" s="1"/>
      <c r="B41" s="41" t="s">
        <v>129</v>
      </c>
      <c r="C41" s="39">
        <v>2015</v>
      </c>
      <c r="D41" s="39">
        <v>75</v>
      </c>
      <c r="E41" s="37">
        <v>141305.07999999999</v>
      </c>
      <c r="F41" s="20">
        <f t="shared" si="0"/>
        <v>1884.0677333333331</v>
      </c>
      <c r="G41" s="10" t="s">
        <v>4</v>
      </c>
      <c r="H41" s="1"/>
    </row>
    <row r="42" spans="1:8" x14ac:dyDescent="0.25">
      <c r="A42" s="1"/>
      <c r="B42" s="41" t="s">
        <v>124</v>
      </c>
      <c r="C42" s="39">
        <v>2015</v>
      </c>
      <c r="D42" s="39">
        <v>75</v>
      </c>
      <c r="E42" s="37">
        <v>499807.05</v>
      </c>
      <c r="F42" s="20">
        <f t="shared" si="0"/>
        <v>6664.0940000000001</v>
      </c>
      <c r="G42" s="10" t="s">
        <v>4</v>
      </c>
      <c r="H42" s="1"/>
    </row>
    <row r="43" spans="1:8" x14ac:dyDescent="0.25">
      <c r="A43" s="1"/>
      <c r="B43" s="83" t="s">
        <v>131</v>
      </c>
      <c r="C43" s="84"/>
      <c r="D43" s="84"/>
      <c r="E43" s="85"/>
      <c r="F43" s="33">
        <f>SUM(F10:F42)</f>
        <v>1646885.3831500006</v>
      </c>
      <c r="G43" s="18" t="s">
        <v>4</v>
      </c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  <row r="61" spans="1:8" x14ac:dyDescent="0.25">
      <c r="A61" s="6"/>
      <c r="B61" s="6"/>
      <c r="C61" s="6"/>
      <c r="D61" s="6"/>
      <c r="E61" s="6"/>
      <c r="F61" s="6"/>
      <c r="G61" s="6"/>
      <c r="H61" s="6"/>
    </row>
    <row r="62" spans="1:8" x14ac:dyDescent="0.25">
      <c r="A62" s="6"/>
      <c r="B62" s="6"/>
      <c r="C62" s="6"/>
      <c r="D62" s="6"/>
      <c r="E62" s="6"/>
      <c r="F62" s="6"/>
      <c r="G62" s="6"/>
      <c r="H62" s="6"/>
    </row>
    <row r="63" spans="1:8" x14ac:dyDescent="0.25">
      <c r="A63" s="6"/>
      <c r="B63" s="6"/>
      <c r="C63" s="6"/>
      <c r="D63" s="6"/>
      <c r="E63" s="6"/>
      <c r="F63" s="6"/>
      <c r="G63" s="6"/>
      <c r="H63" s="6"/>
    </row>
    <row r="64" spans="1:8" x14ac:dyDescent="0.25">
      <c r="A64" s="6"/>
      <c r="B64" s="6"/>
      <c r="C64" s="6"/>
      <c r="D64" s="6"/>
      <c r="E64" s="6"/>
      <c r="F64" s="6"/>
      <c r="G64" s="6"/>
      <c r="H64" s="6"/>
    </row>
    <row r="65" spans="1:8" x14ac:dyDescent="0.25">
      <c r="A65" s="6"/>
      <c r="B65" s="6"/>
      <c r="C65" s="6"/>
      <c r="D65" s="6"/>
      <c r="E65" s="6"/>
      <c r="F65" s="6"/>
      <c r="G65" s="6"/>
      <c r="H65" s="6"/>
    </row>
    <row r="66" spans="1:8" x14ac:dyDescent="0.25">
      <c r="A66" s="6"/>
      <c r="B66" s="6"/>
      <c r="C66" s="6"/>
      <c r="D66" s="6"/>
      <c r="E66" s="6"/>
      <c r="F66" s="6"/>
      <c r="G66" s="6"/>
      <c r="H66" s="6"/>
    </row>
    <row r="67" spans="1:8" x14ac:dyDescent="0.25">
      <c r="A67" s="6"/>
      <c r="B67" s="6"/>
      <c r="C67" s="6"/>
      <c r="D67" s="6"/>
      <c r="E67" s="6"/>
      <c r="F67" s="6"/>
      <c r="G67" s="6"/>
      <c r="H67" s="6"/>
    </row>
    <row r="68" spans="1:8" x14ac:dyDescent="0.25">
      <c r="A68" s="6"/>
      <c r="B68" s="6"/>
      <c r="C68" s="6"/>
      <c r="D68" s="6"/>
      <c r="E68" s="6"/>
      <c r="F68" s="6"/>
      <c r="G68" s="6"/>
      <c r="H68" s="6"/>
    </row>
    <row r="69" spans="1:8" x14ac:dyDescent="0.25">
      <c r="A69" s="6"/>
      <c r="B69" s="6"/>
      <c r="C69" s="6"/>
      <c r="D69" s="6"/>
      <c r="E69" s="6"/>
      <c r="F69" s="6"/>
      <c r="G69" s="6"/>
      <c r="H69" s="6"/>
    </row>
    <row r="70" spans="1:8" x14ac:dyDescent="0.25">
      <c r="A70" s="6"/>
      <c r="B70" s="6"/>
      <c r="C70" s="6"/>
      <c r="D70" s="6"/>
      <c r="E70" s="6"/>
      <c r="F70" s="6"/>
      <c r="G70" s="6"/>
      <c r="H70" s="6"/>
    </row>
    <row r="71" spans="1:8" x14ac:dyDescent="0.25">
      <c r="A71" s="6"/>
      <c r="B71" s="6"/>
      <c r="C71" s="6"/>
      <c r="D71" s="6"/>
      <c r="E71" s="6"/>
      <c r="F71" s="6"/>
      <c r="G71" s="6"/>
      <c r="H71" s="6"/>
    </row>
    <row r="72" spans="1:8" x14ac:dyDescent="0.25">
      <c r="A72" s="6"/>
      <c r="B72" s="6"/>
      <c r="C72" s="6"/>
      <c r="D72" s="6"/>
      <c r="E72" s="6"/>
      <c r="F72" s="6"/>
      <c r="G72" s="6"/>
      <c r="H72" s="6"/>
    </row>
    <row r="73" spans="1:8" x14ac:dyDescent="0.25">
      <c r="A73" s="6"/>
      <c r="B73" s="6"/>
      <c r="C73" s="6"/>
      <c r="D73" s="6"/>
      <c r="E73" s="6"/>
      <c r="F73" s="6"/>
      <c r="G73" s="6"/>
      <c r="H73" s="6"/>
    </row>
    <row r="74" spans="1:8" x14ac:dyDescent="0.25">
      <c r="A74" s="6"/>
      <c r="B74" s="6"/>
      <c r="C74" s="6"/>
      <c r="D74" s="6"/>
      <c r="E74" s="6"/>
      <c r="F74" s="6"/>
      <c r="G74" s="6"/>
      <c r="H74" s="6"/>
    </row>
    <row r="75" spans="1:8" x14ac:dyDescent="0.25">
      <c r="A75" s="6"/>
      <c r="B75" s="6"/>
      <c r="C75" s="6"/>
      <c r="D75" s="6"/>
      <c r="E75" s="6"/>
      <c r="F75" s="6"/>
      <c r="G75" s="6"/>
      <c r="H75" s="6"/>
    </row>
  </sheetData>
  <sheetProtection password="C6BD" sheet="1" objects="1" scenarios="1"/>
  <mergeCells count="4">
    <mergeCell ref="B43:E4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3" t="s">
        <v>80</v>
      </c>
      <c r="C9" s="74"/>
      <c r="D9" s="74"/>
      <c r="E9" s="74"/>
      <c r="F9" s="75"/>
      <c r="G9" s="37">
        <v>18255000</v>
      </c>
      <c r="H9" s="10" t="s">
        <v>4</v>
      </c>
      <c r="I9" s="1"/>
    </row>
    <row r="10" spans="1:9" x14ac:dyDescent="0.25">
      <c r="A10" s="1"/>
      <c r="B10" s="73" t="s">
        <v>81</v>
      </c>
      <c r="C10" s="74"/>
      <c r="D10" s="74"/>
      <c r="E10" s="74"/>
      <c r="F10" s="75"/>
      <c r="G10" s="37">
        <v>15180300</v>
      </c>
      <c r="H10" s="10" t="s">
        <v>4</v>
      </c>
      <c r="I10" s="1"/>
    </row>
    <row r="11" spans="1:9" x14ac:dyDescent="0.25">
      <c r="A11" s="1"/>
      <c r="B11" s="83" t="s">
        <v>82</v>
      </c>
      <c r="C11" s="84"/>
      <c r="D11" s="84"/>
      <c r="E11" s="84"/>
      <c r="F11" s="85"/>
      <c r="G11" s="33">
        <f>G9-G10</f>
        <v>3074700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3" t="s">
        <v>84</v>
      </c>
      <c r="C15" s="74"/>
      <c r="D15" s="74"/>
      <c r="E15" s="74"/>
      <c r="F15" s="75"/>
      <c r="G15" s="37">
        <v>1202307.4099999999</v>
      </c>
      <c r="H15" s="10" t="s">
        <v>4</v>
      </c>
      <c r="I15" s="1"/>
    </row>
    <row r="16" spans="1:9" x14ac:dyDescent="0.25">
      <c r="A16" s="1"/>
      <c r="B16" s="73" t="s">
        <v>85</v>
      </c>
      <c r="C16" s="74"/>
      <c r="D16" s="74"/>
      <c r="E16" s="74"/>
      <c r="F16" s="75"/>
      <c r="G16" s="37">
        <v>641000</v>
      </c>
      <c r="H16" s="10" t="s">
        <v>4</v>
      </c>
      <c r="I16" s="1"/>
    </row>
    <row r="17" spans="1:9" x14ac:dyDescent="0.25">
      <c r="A17" s="1"/>
      <c r="B17" s="83" t="s">
        <v>86</v>
      </c>
      <c r="C17" s="84"/>
      <c r="D17" s="84"/>
      <c r="E17" s="84"/>
      <c r="F17" s="85"/>
      <c r="G17" s="33">
        <f>G15-G16</f>
        <v>561307.40999999992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3" t="s">
        <v>94</v>
      </c>
      <c r="C21" s="74"/>
      <c r="D21" s="74"/>
      <c r="E21" s="74"/>
      <c r="F21" s="75"/>
      <c r="G21" s="37">
        <v>109058</v>
      </c>
      <c r="H21" s="10" t="s">
        <v>4</v>
      </c>
      <c r="I21" s="1"/>
    </row>
    <row r="22" spans="1:9" x14ac:dyDescent="0.25">
      <c r="A22" s="1"/>
      <c r="B22" s="73" t="s">
        <v>96</v>
      </c>
      <c r="C22" s="74"/>
      <c r="D22" s="74"/>
      <c r="E22" s="74"/>
      <c r="F22" s="75"/>
      <c r="G22" s="37">
        <v>100000</v>
      </c>
      <c r="H22" s="10" t="s">
        <v>4</v>
      </c>
      <c r="I22" s="1"/>
    </row>
    <row r="23" spans="1:9" x14ac:dyDescent="0.25">
      <c r="A23" s="1"/>
      <c r="B23" s="83" t="s">
        <v>95</v>
      </c>
      <c r="C23" s="84"/>
      <c r="D23" s="84"/>
      <c r="E23" s="84"/>
      <c r="F23" s="85"/>
      <c r="G23" s="33">
        <f>G21-G22</f>
        <v>9058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3" t="s">
        <v>88</v>
      </c>
      <c r="C27" s="74"/>
      <c r="D27" s="74"/>
      <c r="E27" s="74"/>
      <c r="F27" s="75"/>
      <c r="G27" s="37">
        <v>305833</v>
      </c>
      <c r="H27" s="10" t="s">
        <v>4</v>
      </c>
      <c r="I27" s="1"/>
    </row>
    <row r="28" spans="1:9" x14ac:dyDescent="0.25">
      <c r="A28" s="1"/>
      <c r="B28" s="73" t="s">
        <v>89</v>
      </c>
      <c r="C28" s="74"/>
      <c r="D28" s="74"/>
      <c r="E28" s="74"/>
      <c r="F28" s="75"/>
      <c r="G28" s="37">
        <v>621333</v>
      </c>
      <c r="H28" s="10" t="s">
        <v>4</v>
      </c>
      <c r="I28" s="1"/>
    </row>
    <row r="29" spans="1:9" x14ac:dyDescent="0.25">
      <c r="A29" s="1"/>
      <c r="B29" s="73" t="s">
        <v>90</v>
      </c>
      <c r="C29" s="74"/>
      <c r="D29" s="74"/>
      <c r="E29" s="74"/>
      <c r="F29" s="75"/>
      <c r="G29" s="20">
        <f>'Fane 7. Gen. inv. i 2015'!F43</f>
        <v>1646885.3831500006</v>
      </c>
      <c r="H29" s="10" t="s">
        <v>4</v>
      </c>
      <c r="I29" s="1"/>
    </row>
    <row r="30" spans="1:9" x14ac:dyDescent="0.25">
      <c r="A30" s="1"/>
      <c r="B30" s="83" t="s">
        <v>87</v>
      </c>
      <c r="C30" s="84"/>
      <c r="D30" s="84"/>
      <c r="E30" s="84"/>
      <c r="F30" s="85"/>
      <c r="G30" s="33">
        <f>G29-G27+G29-G28</f>
        <v>2366604.7663000012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2016-12-13T16:52:09Z</dcterms:modified>
</cp:coreProperties>
</file>