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15" windowWidth="20730" windowHeight="11760" tabRatio="683" activeTab="4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F56" i="11" l="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G23" i="12"/>
  <c r="E19" i="2" s="1"/>
  <c r="G17" i="12"/>
  <c r="E18" i="2" s="1"/>
  <c r="F11" i="11"/>
  <c r="F12" i="11"/>
  <c r="F13" i="11"/>
  <c r="F14" i="11"/>
  <c r="F57" i="11"/>
  <c r="F10" i="11"/>
  <c r="E15" i="2"/>
  <c r="G15" i="2" s="1"/>
  <c r="G12" i="9"/>
  <c r="G14" i="9" s="1"/>
  <c r="G9" i="9"/>
  <c r="G11" i="9" s="1"/>
  <c r="G12" i="7"/>
  <c r="G18" i="4"/>
  <c r="E17" i="2"/>
  <c r="E11" i="4" l="1"/>
  <c r="E15" i="4"/>
  <c r="E10" i="4"/>
  <c r="E9" i="2"/>
  <c r="G9" i="8"/>
  <c r="G11" i="8" s="1"/>
  <c r="E11" i="2" s="1"/>
  <c r="F58" i="11"/>
  <c r="G29" i="12" s="1"/>
  <c r="G30" i="12" s="1"/>
  <c r="E20" i="2" s="1"/>
  <c r="E21" i="2" s="1"/>
  <c r="G21" i="2" s="1"/>
  <c r="E28" i="13"/>
  <c r="G28" i="13" s="1"/>
  <c r="G36" i="13" s="1"/>
  <c r="E23" i="2" s="1"/>
  <c r="G23" i="2" s="1"/>
  <c r="G15" i="9"/>
  <c r="E12" i="2" s="1"/>
  <c r="E13" i="2" l="1"/>
  <c r="G13" i="2" s="1"/>
  <c r="G24" i="2" s="1"/>
  <c r="E9" i="4"/>
  <c r="E13" i="4" l="1"/>
  <c r="E14" i="4"/>
  <c r="E16" i="4" l="1"/>
  <c r="G16" i="4" s="1"/>
  <c r="G19" i="4" s="1"/>
</calcChain>
</file>

<file path=xl/sharedStrings.xml><?xml version="1.0" encoding="utf-8"?>
<sst xmlns="http://schemas.openxmlformats.org/spreadsheetml/2006/main" count="322" uniqueCount="131">
  <si>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</si>
  <si>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</si>
  <si>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</si>
  <si>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</si>
  <si>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</si>
  <si>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</si>
  <si>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</si>
  <si>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</si>
  <si>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</si>
  <si>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</si>
  <si>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</si>
  <si>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</si>
  <si>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</si>
  <si>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</si>
  <si>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</si>
  <si>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</si>
  <si>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</si>
  <si>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</si>
  <si>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</si>
  <si>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</si>
  <si>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</si>
  <si>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</si>
  <si>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</si>
  <si>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</si>
  <si>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</si>
  <si>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</si>
  <si>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</si>
  <si>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</si>
  <si>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</si>
  <si>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</si>
  <si>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</si>
  <si>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</si>
  <si>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</si>
  <si>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</si>
  <si>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</si>
  <si>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</si>
  <si>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</si>
  <si>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</si>
  <si>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</si>
  <si>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</si>
  <si>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</si>
  <si>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</si>
  <si>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</si>
  <si>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</si>
  <si>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</si>
  <si>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</si>
  <si>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</si>
  <si>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</si>
  <si>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</si>
  <si>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</si>
  <si>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</si>
  <si>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</si>
  <si>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</si>
  <si>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</si>
  <si>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</si>
  <si>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</si>
  <si>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</si>
  <si>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</si>
  <si>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</si>
  <si>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</si>
  <si>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</si>
  <si>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</si>
  <si>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</si>
  <si>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</si>
  <si>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</si>
  <si>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</si>
  <si>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</si>
  <si>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</si>
  <si>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</si>
  <si>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</si>
  <si>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</si>
  <si>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</si>
  <si>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</si>
  <si>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</si>
  <si>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</si>
  <si>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</si>
  <si>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</si>
  <si>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</si>
  <si>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</si>
  <si>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</si>
  <si>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</si>
  <si>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</si>
  <si>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</si>
  <si>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</si>
  <si>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</si>
  <si>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</si>
  <si>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</si>
  <si>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</si>
  <si>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</si>
  <si>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</si>
  <si>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</si>
  <si>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</si>
  <si>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</si>
  <si>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</si>
  <si>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</si>
  <si>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</si>
  <si>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</si>
  <si>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</si>
  <si>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</si>
  <si>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</si>
  <si>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</si>
  <si>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</si>
  <si>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</si>
  <si>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</si>
  <si>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</si>
  <si>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</si>
  <si>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</si>
  <si>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</si>
  <si>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</si>
  <si>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</si>
  <si>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</si>
  <si>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</si>
  <si>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</si>
  <si>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Ø 250 mm &lt; Ledningsnet ≤ Ø 500mm</t>
  </si>
  <si>
    <t>Stik på ledningsnet, Konstruktioner</t>
  </si>
  <si>
    <t xml:space="preserve">Afregningsmålere, mekaniske </t>
  </si>
  <si>
    <t>Afregningsmålere, elektroniske &gt; Ø110 mm</t>
  </si>
  <si>
    <t>Ø110 mm &lt; Ledningsnet ≤ Ø 250 mm</t>
  </si>
  <si>
    <t>Ventiler på Ø110 mm &lt; Ledningsnet ≤ Ø 250 mm</t>
  </si>
  <si>
    <t>Ventiler på Ø 250 mm &lt; Ledningsnet ≤ Ø 500mm</t>
  </si>
  <si>
    <t>SRO-brønd/kvarterbrønd/sektionsbrønd, SRO</t>
  </si>
  <si>
    <t>SRO-brønd/kvarterbrønd/sektionsbrønd, Konstruktioner</t>
  </si>
  <si>
    <t>SRO-brønd/kvarterbrønd/sektionsbrønd, Mek./EL</t>
  </si>
  <si>
    <t>Elanlæg - vandværk</t>
  </si>
  <si>
    <t>Støbejernsledninger Ø 250 mm &lt; Ledningsnet ≤ Ø 500mm</t>
  </si>
  <si>
    <t>Ø 50mm &lt; Ledningsnet ≤ Ø110 mm</t>
  </si>
  <si>
    <t>Ventiler på Ø 50mm &lt; Ledningsnet ≤ Ø110 mm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</si>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</sst>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8" t="s">
        <v>6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45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3" t="s">
        <v>47</v>
      </c>
      <c r="C9" s="84"/>
      <c r="D9" s="84"/>
      <c r="E9" s="84"/>
      <c r="F9" s="85"/>
      <c r="G9" s="35">
        <v>56157197</v>
      </c>
      <c r="H9" s="16" t="s">
        <v>4</v>
      </c>
      <c r="I9" s="1"/>
    </row>
    <row r="10" spans="1:9" x14ac:dyDescent="0.25">
      <c r="A10" s="1"/>
      <c r="B10" s="75" t="s">
        <v>48</v>
      </c>
      <c r="C10" s="76"/>
      <c r="D10" s="76"/>
      <c r="E10" s="76"/>
      <c r="F10" s="76"/>
      <c r="G10" s="76"/>
      <c r="H10" s="77"/>
      <c r="I10" s="1"/>
    </row>
    <row r="11" spans="1:9" x14ac:dyDescent="0.25">
      <c r="A11" s="1"/>
      <c r="B11" s="79" t="s">
        <v>49</v>
      </c>
      <c r="C11" s="80"/>
      <c r="D11" s="81"/>
      <c r="E11" s="37">
        <v>6425848</v>
      </c>
      <c r="F11" s="10" t="s">
        <v>4</v>
      </c>
      <c r="G11" s="19"/>
      <c r="H11" s="25"/>
      <c r="I11" s="1"/>
    </row>
    <row r="12" spans="1:9" x14ac:dyDescent="0.25">
      <c r="A12" s="1"/>
      <c r="B12" s="79" t="s">
        <v>50</v>
      </c>
      <c r="C12" s="80"/>
      <c r="D12" s="81"/>
      <c r="E12" s="37">
        <v>1238502</v>
      </c>
      <c r="F12" s="10" t="s">
        <v>4</v>
      </c>
      <c r="G12" s="13"/>
      <c r="H12" s="26"/>
      <c r="I12" s="1"/>
    </row>
    <row r="13" spans="1:9" x14ac:dyDescent="0.25">
      <c r="A13" s="1"/>
      <c r="B13" s="79" t="s">
        <v>51</v>
      </c>
      <c r="C13" s="80"/>
      <c r="D13" s="81"/>
      <c r="E13" s="37">
        <v>113154</v>
      </c>
      <c r="F13" s="10" t="s">
        <v>4</v>
      </c>
      <c r="G13" s="13"/>
      <c r="H13" s="26"/>
      <c r="I13" s="1"/>
    </row>
    <row r="14" spans="1:9" x14ac:dyDescent="0.25">
      <c r="A14" s="1"/>
      <c r="B14" s="79" t="s">
        <v>52</v>
      </c>
      <c r="C14" s="80"/>
      <c r="D14" s="81"/>
      <c r="E14" s="37">
        <v>605333</v>
      </c>
      <c r="F14" s="10" t="s">
        <v>4</v>
      </c>
      <c r="G14" s="13"/>
      <c r="H14" s="26"/>
      <c r="I14" s="1"/>
    </row>
    <row r="15" spans="1:9" x14ac:dyDescent="0.25">
      <c r="A15" s="1"/>
      <c r="B15" s="83" t="s">
        <v>53</v>
      </c>
      <c r="C15" s="84"/>
      <c r="D15" s="85"/>
      <c r="E15" s="32">
        <f>SUM(E11:E14)</f>
        <v>8382837</v>
      </c>
      <c r="F15" s="16" t="s">
        <v>4</v>
      </c>
      <c r="G15" s="13"/>
      <c r="H15" s="26"/>
      <c r="I15" s="1"/>
    </row>
    <row r="16" spans="1:9" x14ac:dyDescent="0.25">
      <c r="A16" s="1"/>
      <c r="B16" s="79" t="s">
        <v>54</v>
      </c>
      <c r="C16" s="80"/>
      <c r="D16" s="81"/>
      <c r="E16" s="37">
        <v>1367543</v>
      </c>
      <c r="F16" s="10" t="s">
        <v>4</v>
      </c>
      <c r="G16" s="13"/>
      <c r="H16" s="26"/>
      <c r="I16" s="1"/>
    </row>
    <row r="17" spans="1:9" x14ac:dyDescent="0.25">
      <c r="A17" s="1"/>
      <c r="B17" s="79" t="s">
        <v>55</v>
      </c>
      <c r="C17" s="80"/>
      <c r="D17" s="81"/>
      <c r="E17" s="37">
        <v>0</v>
      </c>
      <c r="F17" s="10" t="s">
        <v>4</v>
      </c>
      <c r="G17" s="13"/>
      <c r="H17" s="26"/>
      <c r="I17" s="1"/>
    </row>
    <row r="18" spans="1:9" x14ac:dyDescent="0.25">
      <c r="A18" s="1"/>
      <c r="B18" s="79" t="s">
        <v>56</v>
      </c>
      <c r="C18" s="80"/>
      <c r="D18" s="81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3" t="s">
        <v>57</v>
      </c>
      <c r="C19" s="84"/>
      <c r="D19" s="85"/>
      <c r="E19" s="32">
        <f>SUM(E16:E18)</f>
        <v>1367543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2" t="s">
        <v>58</v>
      </c>
      <c r="C20" s="73"/>
      <c r="D20" s="74"/>
      <c r="E20" s="37">
        <v>-278183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2" t="s">
        <v>59</v>
      </c>
      <c r="C21" s="73"/>
      <c r="D21" s="74"/>
      <c r="E21" s="37">
        <v>-7900625</v>
      </c>
      <c r="F21" s="10" t="s">
        <v>4</v>
      </c>
      <c r="G21" s="13"/>
      <c r="H21" s="26"/>
      <c r="I21" s="1"/>
    </row>
    <row r="22" spans="1:9" x14ac:dyDescent="0.25">
      <c r="A22" s="1"/>
      <c r="B22" s="79" t="s">
        <v>60</v>
      </c>
      <c r="C22" s="80"/>
      <c r="D22" s="81"/>
      <c r="E22" s="37">
        <v>-1476222</v>
      </c>
      <c r="F22" s="10" t="s">
        <v>4</v>
      </c>
      <c r="G22" s="13"/>
      <c r="H22" s="26"/>
      <c r="I22" s="1"/>
    </row>
    <row r="23" spans="1:9" x14ac:dyDescent="0.25">
      <c r="A23" s="1"/>
      <c r="B23" s="79" t="s">
        <v>61</v>
      </c>
      <c r="C23" s="80"/>
      <c r="D23" s="81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2" t="s">
        <v>62</v>
      </c>
      <c r="C24" s="73"/>
      <c r="D24" s="74"/>
      <c r="E24" s="37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2" t="s">
        <v>63</v>
      </c>
      <c r="C25" s="73"/>
      <c r="D25" s="74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2" t="s">
        <v>64</v>
      </c>
      <c r="C26" s="73"/>
      <c r="D26" s="74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3" t="s">
        <v>65</v>
      </c>
      <c r="C27" s="84"/>
      <c r="D27" s="85"/>
      <c r="E27" s="32">
        <f>SUM(E20:E26)</f>
        <v>-9655030</v>
      </c>
      <c r="F27" s="16" t="s">
        <v>4</v>
      </c>
      <c r="G27" s="14"/>
      <c r="H27" s="27"/>
      <c r="I27" s="1"/>
    </row>
    <row r="28" spans="1:9" x14ac:dyDescent="0.25">
      <c r="A28" s="1"/>
      <c r="B28" s="83" t="s">
        <v>66</v>
      </c>
      <c r="C28" s="84"/>
      <c r="D28" s="85"/>
      <c r="E28" s="32">
        <f>E15+E19+E27</f>
        <v>95350</v>
      </c>
      <c r="F28" s="16" t="s">
        <v>4</v>
      </c>
      <c r="G28" s="31">
        <f>IF(E28&lt;0,0,-E28)</f>
        <v>-95350</v>
      </c>
      <c r="H28" s="16" t="s">
        <v>4</v>
      </c>
      <c r="I28" s="1"/>
    </row>
    <row r="29" spans="1:9" x14ac:dyDescent="0.25">
      <c r="A29" s="1"/>
      <c r="B29" s="75" t="s">
        <v>67</v>
      </c>
      <c r="C29" s="76"/>
      <c r="D29" s="76"/>
      <c r="E29" s="76"/>
      <c r="F29" s="76"/>
      <c r="G29" s="76"/>
      <c r="H29" s="77"/>
      <c r="I29" s="1"/>
    </row>
    <row r="30" spans="1:9" x14ac:dyDescent="0.25">
      <c r="A30" s="1"/>
      <c r="B30" s="83" t="s">
        <v>67</v>
      </c>
      <c r="C30" s="84"/>
      <c r="D30" s="85"/>
      <c r="E30" s="35">
        <v>0</v>
      </c>
      <c r="F30" s="16" t="s">
        <v>4</v>
      </c>
      <c r="G30" s="32">
        <f>-$E$30</f>
        <v>0</v>
      </c>
      <c r="H30" s="16" t="s">
        <v>4</v>
      </c>
      <c r="I30" s="1"/>
    </row>
    <row r="31" spans="1:9" x14ac:dyDescent="0.25">
      <c r="A31" s="1"/>
      <c r="B31" s="99" t="s">
        <v>128</v>
      </c>
      <c r="C31" s="76"/>
      <c r="D31" s="76"/>
      <c r="E31" s="76"/>
      <c r="F31" s="76"/>
      <c r="G31" s="76"/>
      <c r="H31" s="77"/>
      <c r="I31" s="1"/>
    </row>
    <row r="32" spans="1:9" ht="30" customHeight="1" x14ac:dyDescent="0.25">
      <c r="A32" s="1"/>
      <c r="B32" s="72" t="s">
        <v>129</v>
      </c>
      <c r="C32" s="73"/>
      <c r="D32" s="74"/>
      <c r="E32" s="37">
        <v>55952551</v>
      </c>
      <c r="F32" s="10" t="s">
        <v>4</v>
      </c>
      <c r="G32" s="19"/>
      <c r="H32" s="25"/>
      <c r="I32" s="1"/>
    </row>
    <row r="33" spans="1:9" x14ac:dyDescent="0.25">
      <c r="A33" s="1"/>
      <c r="B33" s="79" t="s">
        <v>68</v>
      </c>
      <c r="C33" s="80"/>
      <c r="D33" s="81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2" t="s">
        <v>69</v>
      </c>
      <c r="C34" s="73"/>
      <c r="D34" s="74"/>
      <c r="E34" s="37">
        <v>139675</v>
      </c>
      <c r="F34" s="10" t="s">
        <v>4</v>
      </c>
      <c r="G34" s="14"/>
      <c r="H34" s="27"/>
      <c r="I34" s="1"/>
    </row>
    <row r="35" spans="1:9" x14ac:dyDescent="0.25">
      <c r="A35" s="1"/>
      <c r="B35" s="83" t="s">
        <v>70</v>
      </c>
      <c r="C35" s="84"/>
      <c r="D35" s="85"/>
      <c r="E35" s="32">
        <f>SUM(E32:E34)</f>
        <v>56092226</v>
      </c>
      <c r="F35" s="16" t="s">
        <v>4</v>
      </c>
      <c r="G35" s="32">
        <f>-E35</f>
        <v>-56092226</v>
      </c>
      <c r="H35" s="16" t="s">
        <v>4</v>
      </c>
      <c r="I35" s="1"/>
    </row>
    <row r="36" spans="1:9" x14ac:dyDescent="0.25">
      <c r="A36" s="1"/>
      <c r="B36" s="75" t="s">
        <v>46</v>
      </c>
      <c r="C36" s="76"/>
      <c r="D36" s="76"/>
      <c r="E36" s="76"/>
      <c r="F36" s="77"/>
      <c r="G36" s="33">
        <f>$G$9+$G$28+$G$30+$G$35</f>
        <v>-30379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>
      <selection activeCell="G19" sqref="G19"/>
    </sheetView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130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109</v>
      </c>
      <c r="C8" s="76"/>
      <c r="D8" s="76"/>
      <c r="E8" s="76"/>
      <c r="F8" s="76"/>
      <c r="G8" s="76"/>
      <c r="H8" s="77"/>
      <c r="I8" s="1"/>
    </row>
    <row r="9" spans="1:9" ht="30" customHeight="1" x14ac:dyDescent="0.25">
      <c r="A9" s="1"/>
      <c r="B9" s="72" t="s">
        <v>31</v>
      </c>
      <c r="C9" s="73"/>
      <c r="D9" s="74"/>
      <c r="E9" s="34">
        <f>'Fane 3. Grundlag'!G12</f>
        <v>55032421.079235479</v>
      </c>
      <c r="F9" s="7" t="s">
        <v>4</v>
      </c>
      <c r="G9" s="8"/>
      <c r="H9" s="9"/>
      <c r="I9" s="1"/>
    </row>
    <row r="10" spans="1:9" x14ac:dyDescent="0.25">
      <c r="A10" s="1"/>
      <c r="B10" s="82" t="s">
        <v>97</v>
      </c>
      <c r="C10" s="80"/>
      <c r="D10" s="81"/>
      <c r="E10" s="20">
        <f>'Fane 3. Grundlag'!G11</f>
        <v>26986759.832558237</v>
      </c>
      <c r="F10" s="7" t="s">
        <v>4</v>
      </c>
      <c r="G10" s="11"/>
      <c r="H10" s="12"/>
      <c r="I10" s="1"/>
    </row>
    <row r="11" spans="1:9" x14ac:dyDescent="0.25">
      <c r="A11" s="1"/>
      <c r="B11" s="79" t="s">
        <v>25</v>
      </c>
      <c r="C11" s="80"/>
      <c r="D11" s="81"/>
      <c r="E11" s="20">
        <f>'Fane 4. Individuelt eff.krav'!G11</f>
        <v>362494.60069050378</v>
      </c>
      <c r="F11" s="7" t="s">
        <v>4</v>
      </c>
      <c r="G11" s="13"/>
      <c r="H11" s="12"/>
      <c r="I11" s="1"/>
    </row>
    <row r="12" spans="1:9" x14ac:dyDescent="0.25">
      <c r="A12" s="1"/>
      <c r="B12" s="79" t="s">
        <v>26</v>
      </c>
      <c r="C12" s="80"/>
      <c r="D12" s="81"/>
      <c r="E12" s="20">
        <f>'Fane 5. Generelt eff.krav'!G15</f>
        <v>450316.25346152345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2">
        <f>$E$9-$E$11-$E$12</f>
        <v>54219610.225083448</v>
      </c>
      <c r="F13" s="17" t="s">
        <v>4</v>
      </c>
      <c r="G13" s="32">
        <f>E13</f>
        <v>54219610.225083448</v>
      </c>
      <c r="H13" s="17" t="s">
        <v>4</v>
      </c>
      <c r="I13" s="1"/>
    </row>
    <row r="14" spans="1:9" x14ac:dyDescent="0.25">
      <c r="A14" s="1"/>
      <c r="B14" s="75" t="s">
        <v>32</v>
      </c>
      <c r="C14" s="76"/>
      <c r="D14" s="76"/>
      <c r="E14" s="76"/>
      <c r="F14" s="76"/>
      <c r="G14" s="76"/>
      <c r="H14" s="77"/>
      <c r="I14" s="1"/>
    </row>
    <row r="15" spans="1:9" x14ac:dyDescent="0.25">
      <c r="A15" s="1"/>
      <c r="B15" s="69" t="s">
        <v>108</v>
      </c>
      <c r="C15" s="70"/>
      <c r="D15" s="71"/>
      <c r="E15" s="32">
        <f>'Fane 6. Hist. over el. underdæk'!G13</f>
        <v>0</v>
      </c>
      <c r="F15" s="17" t="s">
        <v>4</v>
      </c>
      <c r="G15" s="32">
        <f>E15</f>
        <v>0</v>
      </c>
      <c r="H15" s="17" t="s">
        <v>4</v>
      </c>
      <c r="I15" s="1"/>
    </row>
    <row r="16" spans="1:9" x14ac:dyDescent="0.25">
      <c r="A16" s="1"/>
      <c r="B16" s="75" t="s">
        <v>28</v>
      </c>
      <c r="C16" s="76"/>
      <c r="D16" s="76"/>
      <c r="E16" s="76"/>
      <c r="F16" s="76"/>
      <c r="G16" s="76"/>
      <c r="H16" s="77"/>
      <c r="I16" s="1"/>
    </row>
    <row r="17" spans="1:9" x14ac:dyDescent="0.25">
      <c r="A17" s="1"/>
      <c r="B17" s="72" t="s">
        <v>35</v>
      </c>
      <c r="C17" s="73"/>
      <c r="D17" s="74"/>
      <c r="E17" s="20">
        <f>'Fane 8. Korrektion af PL2015'!G11</f>
        <v>-3389124</v>
      </c>
      <c r="F17" s="7" t="s">
        <v>4</v>
      </c>
      <c r="G17" s="19"/>
      <c r="H17" s="9"/>
      <c r="I17" s="1"/>
    </row>
    <row r="18" spans="1:9" x14ac:dyDescent="0.25">
      <c r="A18" s="1"/>
      <c r="B18" s="72" t="s">
        <v>36</v>
      </c>
      <c r="C18" s="73"/>
      <c r="D18" s="74"/>
      <c r="E18" s="20">
        <f>'Fane 8. Korrektion af PL2015'!G17</f>
        <v>126913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2" t="s">
        <v>98</v>
      </c>
      <c r="C19" s="73"/>
      <c r="D19" s="74"/>
      <c r="E19" s="20">
        <f>'Fane 8. Korrektion af PL2015'!G23</f>
        <v>137841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2" t="s">
        <v>37</v>
      </c>
      <c r="C20" s="73"/>
      <c r="D20" s="74"/>
      <c r="E20" s="20">
        <f>'Fane 8. Korrektion af PL2015'!G30</f>
        <v>342609.80333333299</v>
      </c>
      <c r="F20" s="7" t="s">
        <v>4</v>
      </c>
      <c r="G20" s="14"/>
      <c r="H20" s="15"/>
      <c r="I20" s="1"/>
    </row>
    <row r="21" spans="1:9" x14ac:dyDescent="0.25">
      <c r="A21" s="1"/>
      <c r="B21" s="69" t="s">
        <v>38</v>
      </c>
      <c r="C21" s="70"/>
      <c r="D21" s="71"/>
      <c r="E21" s="32">
        <f>SUM(E17:E20)</f>
        <v>-2781760.1966666672</v>
      </c>
      <c r="F21" s="17" t="s">
        <v>4</v>
      </c>
      <c r="G21" s="32">
        <f>E21</f>
        <v>-2781760.1966666672</v>
      </c>
      <c r="H21" s="17" t="s">
        <v>4</v>
      </c>
      <c r="I21" s="1"/>
    </row>
    <row r="22" spans="1:9" x14ac:dyDescent="0.25">
      <c r="A22" s="1"/>
      <c r="B22" s="75" t="s">
        <v>33</v>
      </c>
      <c r="C22" s="76"/>
      <c r="D22" s="76"/>
      <c r="E22" s="76"/>
      <c r="F22" s="76"/>
      <c r="G22" s="76"/>
      <c r="H22" s="77"/>
      <c r="I22" s="1"/>
    </row>
    <row r="23" spans="1:9" x14ac:dyDescent="0.25">
      <c r="A23" s="1"/>
      <c r="B23" s="69" t="s">
        <v>34</v>
      </c>
      <c r="C23" s="70"/>
      <c r="D23" s="71"/>
      <c r="E23" s="32">
        <f>'Fane 9. Kontrol af PL2015'!G36</f>
        <v>-30379</v>
      </c>
      <c r="F23" s="17" t="s">
        <v>4</v>
      </c>
      <c r="G23" s="32">
        <f>E23</f>
        <v>-30379</v>
      </c>
      <c r="H23" s="17" t="s">
        <v>4</v>
      </c>
      <c r="I23" s="1"/>
    </row>
    <row r="24" spans="1:9" x14ac:dyDescent="0.25">
      <c r="A24" s="1"/>
      <c r="B24" s="75" t="s">
        <v>39</v>
      </c>
      <c r="C24" s="76"/>
      <c r="D24" s="76"/>
      <c r="E24" s="76"/>
      <c r="F24" s="77"/>
      <c r="G24" s="33">
        <f>G13+G15+G21+G23</f>
        <v>51407471.028416783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8:H8"/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109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2" t="s">
        <v>40</v>
      </c>
      <c r="C9" s="73"/>
      <c r="D9" s="74"/>
      <c r="E9" s="36">
        <f>'Fane 2.1. Økonomisk ramme 2017'!$E$9-'Fane 2.1. Økonomisk ramme 2017'!$E$11-'Fane 2.1. Økonomisk ramme 2017'!$E$12</f>
        <v>54219610.225083448</v>
      </c>
      <c r="F9" s="7" t="s">
        <v>4</v>
      </c>
      <c r="G9" s="8"/>
      <c r="H9" s="9"/>
      <c r="I9" s="1"/>
    </row>
    <row r="10" spans="1:9" x14ac:dyDescent="0.25">
      <c r="A10" s="1"/>
      <c r="B10" s="82" t="s">
        <v>110</v>
      </c>
      <c r="C10" s="86"/>
      <c r="D10" s="87"/>
      <c r="E10" s="37">
        <f>'Fane 3. Grundlag'!$G$9*(1-'Fane 4. Individuelt eff.krav'!$G$10/100)-'Fane 5. Generelt eff.krav'!G$11</f>
        <v>17309817.758630086</v>
      </c>
      <c r="F10" s="7" t="s">
        <v>4</v>
      </c>
      <c r="G10" s="11"/>
      <c r="H10" s="12"/>
      <c r="I10" s="1"/>
    </row>
    <row r="11" spans="1:9" x14ac:dyDescent="0.25">
      <c r="A11" s="1"/>
      <c r="B11" s="82" t="s">
        <v>111</v>
      </c>
      <c r="C11" s="86"/>
      <c r="D11" s="87"/>
      <c r="E11" s="37">
        <f>'Fane 3. Grundlag'!$G$10*(1-'Fane 4. Individuelt eff.krav'!$G$10/100)-'Fane 5. Generelt eff.krav'!G$14</f>
        <v>9923032.6338951215</v>
      </c>
      <c r="F11" s="7" t="s">
        <v>4</v>
      </c>
      <c r="G11" s="11"/>
      <c r="H11" s="12"/>
      <c r="I11" s="1"/>
    </row>
    <row r="12" spans="1:9" x14ac:dyDescent="0.25">
      <c r="A12" s="1"/>
      <c r="B12" s="82" t="s">
        <v>97</v>
      </c>
      <c r="C12" s="86"/>
      <c r="D12" s="87"/>
      <c r="E12" s="37">
        <f>'Fane 2.1. Økonomisk ramme 2017'!$E$10</f>
        <v>26986759.832558237</v>
      </c>
      <c r="F12" s="7" t="s">
        <v>4</v>
      </c>
      <c r="G12" s="11"/>
      <c r="H12" s="12"/>
      <c r="I12" s="1"/>
    </row>
    <row r="13" spans="1:9" x14ac:dyDescent="0.25">
      <c r="A13" s="1"/>
      <c r="B13" s="79" t="s">
        <v>41</v>
      </c>
      <c r="C13" s="80"/>
      <c r="D13" s="81"/>
      <c r="E13" s="37">
        <f>$E$9*0.0127</f>
        <v>688589.04985855974</v>
      </c>
      <c r="F13" s="7" t="s">
        <v>4</v>
      </c>
      <c r="G13" s="13"/>
      <c r="H13" s="12"/>
      <c r="I13" s="1"/>
    </row>
    <row r="14" spans="1:9" x14ac:dyDescent="0.25">
      <c r="A14" s="1"/>
      <c r="B14" s="79" t="s">
        <v>25</v>
      </c>
      <c r="C14" s="80"/>
      <c r="D14" s="81"/>
      <c r="E14" s="37">
        <f>('Fane 2.2. Økonomisk ramme 2018'!$E$9-'Fane 2.2. Økonomisk ramme 2018'!$E$12)*1.0127*'Fane 4. Individuelt eff.krav'!$G$10/100</f>
        <v>356459.15096730361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447933.77861526347</v>
      </c>
      <c r="F15" s="7" t="s">
        <v>4</v>
      </c>
      <c r="G15" s="14"/>
      <c r="H15" s="15"/>
      <c r="I15" s="1"/>
    </row>
    <row r="16" spans="1:9" x14ac:dyDescent="0.25">
      <c r="A16" s="1"/>
      <c r="B16" s="83" t="s">
        <v>43</v>
      </c>
      <c r="C16" s="84"/>
      <c r="D16" s="85"/>
      <c r="E16" s="32">
        <f>$E$9+$E$13-$E$14-$E$15</f>
        <v>54103806.345359445</v>
      </c>
      <c r="F16" s="17" t="s">
        <v>4</v>
      </c>
      <c r="G16" s="32">
        <f>E16</f>
        <v>54103806.345359445</v>
      </c>
      <c r="H16" s="17" t="s">
        <v>4</v>
      </c>
      <c r="I16" s="1"/>
    </row>
    <row r="17" spans="1:9" x14ac:dyDescent="0.25">
      <c r="A17" s="1"/>
      <c r="B17" s="75" t="s">
        <v>32</v>
      </c>
      <c r="C17" s="76"/>
      <c r="D17" s="76"/>
      <c r="E17" s="76"/>
      <c r="F17" s="76"/>
      <c r="G17" s="76"/>
      <c r="H17" s="77"/>
      <c r="I17" s="1"/>
    </row>
    <row r="18" spans="1:9" ht="15" customHeight="1" x14ac:dyDescent="0.25">
      <c r="A18" s="1"/>
      <c r="B18" s="69" t="s">
        <v>108</v>
      </c>
      <c r="C18" s="70"/>
      <c r="D18" s="71"/>
      <c r="E18" s="35">
        <f>IF('Fane 6. Hist. over el. underdæk'!$G$12&gt;1,'Fane 6. Hist. over el. underdæk'!$G$13,0)</f>
        <v>0</v>
      </c>
      <c r="F18" s="17" t="s">
        <v>4</v>
      </c>
      <c r="G18" s="32">
        <f>E18</f>
        <v>0</v>
      </c>
      <c r="H18" s="17" t="s">
        <v>4</v>
      </c>
      <c r="I18" s="1"/>
    </row>
    <row r="19" spans="1:9" x14ac:dyDescent="0.25">
      <c r="A19" s="1"/>
      <c r="B19" s="75" t="s">
        <v>42</v>
      </c>
      <c r="C19" s="76"/>
      <c r="D19" s="76"/>
      <c r="E19" s="76"/>
      <c r="F19" s="77"/>
      <c r="G19" s="33">
        <f>G16+G18</f>
        <v>54103806.345359445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9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44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99</v>
      </c>
      <c r="C9" s="80"/>
      <c r="D9" s="80"/>
      <c r="E9" s="80"/>
      <c r="F9" s="81"/>
      <c r="G9" s="37">
        <v>17899150.102455098</v>
      </c>
      <c r="H9" s="10" t="s">
        <v>4</v>
      </c>
      <c r="I9" s="1"/>
    </row>
    <row r="10" spans="1:9" x14ac:dyDescent="0.25">
      <c r="A10" s="1"/>
      <c r="B10" s="79" t="s">
        <v>100</v>
      </c>
      <c r="C10" s="80"/>
      <c r="D10" s="80"/>
      <c r="E10" s="80"/>
      <c r="F10" s="81"/>
      <c r="G10" s="37">
        <v>10146511.14422214</v>
      </c>
      <c r="H10" s="10" t="s">
        <v>4</v>
      </c>
      <c r="I10" s="1"/>
    </row>
    <row r="11" spans="1:9" x14ac:dyDescent="0.25">
      <c r="A11" s="1"/>
      <c r="B11" s="79" t="s">
        <v>101</v>
      </c>
      <c r="C11" s="80"/>
      <c r="D11" s="80"/>
      <c r="E11" s="80"/>
      <c r="F11" s="81"/>
      <c r="G11" s="37">
        <v>26986759.832558237</v>
      </c>
      <c r="H11" s="10" t="s">
        <v>4</v>
      </c>
      <c r="I11" s="1"/>
    </row>
    <row r="12" spans="1:9" x14ac:dyDescent="0.25">
      <c r="A12" s="1"/>
      <c r="B12" s="75" t="s">
        <v>44</v>
      </c>
      <c r="C12" s="76"/>
      <c r="D12" s="76"/>
      <c r="E12" s="76"/>
      <c r="F12" s="77"/>
      <c r="G12" s="33">
        <f>SUM(G9:G11)</f>
        <v>55032421.079235479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tabSelected="1" view="pageLayout" zoomScaleNormal="100" workbookViewId="0">
      <selection activeCell="G10" sqref="G10"/>
    </sheetView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27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25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103</v>
      </c>
      <c r="C9" s="80"/>
      <c r="D9" s="80"/>
      <c r="E9" s="80"/>
      <c r="F9" s="81"/>
      <c r="G9" s="20">
        <f>'Fane 3. Grundlag'!G12-'Fane 3. Grundlag'!G11</f>
        <v>28045661.246677242</v>
      </c>
      <c r="H9" s="10" t="s">
        <v>4</v>
      </c>
      <c r="I9" s="1"/>
    </row>
    <row r="10" spans="1:9" x14ac:dyDescent="0.25">
      <c r="A10" s="1"/>
      <c r="B10" s="79" t="s">
        <v>71</v>
      </c>
      <c r="C10" s="80"/>
      <c r="D10" s="80"/>
      <c r="E10" s="80"/>
      <c r="F10" s="81"/>
      <c r="G10" s="44">
        <v>1.2925157923792969</v>
      </c>
      <c r="H10" s="10" t="s">
        <v>72</v>
      </c>
      <c r="I10" s="1"/>
    </row>
    <row r="11" spans="1:9" x14ac:dyDescent="0.25">
      <c r="A11" s="1"/>
      <c r="B11" s="75" t="s">
        <v>25</v>
      </c>
      <c r="C11" s="76"/>
      <c r="D11" s="76"/>
      <c r="E11" s="76"/>
      <c r="F11" s="77"/>
      <c r="G11" s="33">
        <f>$G$9*$G$10/100</f>
        <v>362494.60069050378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105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17899150.102455098</v>
      </c>
      <c r="H9" s="10" t="s">
        <v>4</v>
      </c>
      <c r="I9" s="1"/>
    </row>
    <row r="10" spans="1:9" x14ac:dyDescent="0.25">
      <c r="A10" s="1"/>
      <c r="B10" s="79" t="s">
        <v>26</v>
      </c>
      <c r="C10" s="80"/>
      <c r="D10" s="80"/>
      <c r="E10" s="80"/>
      <c r="F10" s="81"/>
      <c r="G10" s="42">
        <f>2</f>
        <v>2</v>
      </c>
      <c r="H10" s="10" t="s">
        <v>72</v>
      </c>
      <c r="I10" s="1"/>
    </row>
    <row r="11" spans="1:9" x14ac:dyDescent="0.25">
      <c r="A11" s="1"/>
      <c r="B11" s="83" t="s">
        <v>73</v>
      </c>
      <c r="C11" s="84"/>
      <c r="D11" s="84"/>
      <c r="E11" s="84"/>
      <c r="F11" s="85"/>
      <c r="G11" s="32">
        <f>$G$9*$G$10/100</f>
        <v>357983.00204910198</v>
      </c>
      <c r="H11" s="16" t="s">
        <v>4</v>
      </c>
      <c r="I11" s="1"/>
    </row>
    <row r="12" spans="1:9" x14ac:dyDescent="0.25">
      <c r="A12" s="1"/>
      <c r="B12" s="79" t="s">
        <v>100</v>
      </c>
      <c r="C12" s="80"/>
      <c r="D12" s="80"/>
      <c r="E12" s="80"/>
      <c r="F12" s="81"/>
      <c r="G12" s="20">
        <f>'Fane 3. Grundlag'!G10</f>
        <v>10146511.14422214</v>
      </c>
      <c r="H12" s="10" t="s">
        <v>4</v>
      </c>
      <c r="I12" s="1"/>
    </row>
    <row r="13" spans="1:9" x14ac:dyDescent="0.25">
      <c r="A13" s="1"/>
      <c r="B13" s="79" t="s">
        <v>26</v>
      </c>
      <c r="C13" s="80"/>
      <c r="D13" s="80"/>
      <c r="E13" s="80"/>
      <c r="F13" s="81"/>
      <c r="G13" s="43">
        <f>0.91</f>
        <v>0.91</v>
      </c>
      <c r="H13" s="10" t="s">
        <v>72</v>
      </c>
      <c r="I13" s="1"/>
    </row>
    <row r="14" spans="1:9" x14ac:dyDescent="0.25">
      <c r="A14" s="1"/>
      <c r="B14" s="83" t="s">
        <v>74</v>
      </c>
      <c r="C14" s="84"/>
      <c r="D14" s="84"/>
      <c r="E14" s="84"/>
      <c r="F14" s="85"/>
      <c r="G14" s="32">
        <f>$G$12*$G$13/100</f>
        <v>92333.251412421479</v>
      </c>
      <c r="H14" s="16" t="s">
        <v>4</v>
      </c>
      <c r="I14" s="1"/>
    </row>
    <row r="15" spans="1:9" x14ac:dyDescent="0.25">
      <c r="A15" s="1"/>
      <c r="B15" s="75" t="s">
        <v>104</v>
      </c>
      <c r="C15" s="76"/>
      <c r="D15" s="76"/>
      <c r="E15" s="76"/>
      <c r="F15" s="77"/>
      <c r="G15" s="33">
        <f>G11+G14</f>
        <v>450316.25346152345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topLeftCell="A5" zoomScaleNormal="100" workbookViewId="0"/>
  </sheetViews>
  <sheetFormatPr defaultRowHeight="15" x14ac:dyDescent="0.25"/>
  <cols>
    <col min="4" max="4" width="15.140625" customWidth="1"/>
    <col min="6" max="6" width="14.140625" customWidth="1"/>
    <col min="7" max="7" width="9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106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107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76</v>
      </c>
      <c r="C9" s="80"/>
      <c r="D9" s="80"/>
      <c r="E9" s="80"/>
      <c r="F9" s="81"/>
      <c r="G9" s="37">
        <v>-7258000</v>
      </c>
      <c r="H9" s="10" t="s">
        <v>4</v>
      </c>
      <c r="I9" s="1"/>
    </row>
    <row r="10" spans="1:9" x14ac:dyDescent="0.25">
      <c r="A10" s="1"/>
      <c r="B10" s="79" t="s">
        <v>77</v>
      </c>
      <c r="C10" s="80"/>
      <c r="D10" s="80"/>
      <c r="E10" s="80"/>
      <c r="F10" s="81"/>
      <c r="G10" s="37">
        <v>-7258000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0</v>
      </c>
      <c r="H11" s="23" t="s">
        <v>4</v>
      </c>
      <c r="I11" s="1"/>
    </row>
    <row r="12" spans="1:9" x14ac:dyDescent="0.25">
      <c r="A12" s="1"/>
      <c r="B12" s="79" t="s">
        <v>78</v>
      </c>
      <c r="C12" s="80"/>
      <c r="D12" s="80"/>
      <c r="E12" s="80"/>
      <c r="F12" s="81"/>
      <c r="G12" s="37">
        <v>0</v>
      </c>
      <c r="H12" s="10" t="s">
        <v>4</v>
      </c>
      <c r="I12" s="1"/>
    </row>
    <row r="13" spans="1:9" x14ac:dyDescent="0.25">
      <c r="A13" s="1"/>
      <c r="B13" s="75" t="s">
        <v>75</v>
      </c>
      <c r="C13" s="76"/>
      <c r="D13" s="76"/>
      <c r="E13" s="76"/>
      <c r="F13" s="77"/>
      <c r="G13" s="33">
        <v>0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90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8" t="s">
        <v>30</v>
      </c>
      <c r="C3" s="78"/>
      <c r="D3" s="78"/>
      <c r="E3" s="78"/>
      <c r="F3" s="78"/>
      <c r="G3" s="78"/>
      <c r="H3" s="1"/>
    </row>
    <row r="4" spans="1:8" ht="15" customHeight="1" x14ac:dyDescent="0.25">
      <c r="A4" s="1"/>
      <c r="B4" s="78"/>
      <c r="C4" s="78"/>
      <c r="D4" s="78"/>
      <c r="E4" s="78"/>
      <c r="F4" s="78"/>
      <c r="G4" s="7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5" t="s">
        <v>5</v>
      </c>
      <c r="C8" s="76"/>
      <c r="D8" s="76"/>
      <c r="E8" s="76"/>
      <c r="F8" s="76"/>
      <c r="G8" s="77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75</v>
      </c>
      <c r="E10" s="37">
        <v>88117</v>
      </c>
      <c r="F10" s="20">
        <f>E10/D10</f>
        <v>1174.8933333333334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75</v>
      </c>
      <c r="E11" s="37">
        <v>1575</v>
      </c>
      <c r="F11" s="20">
        <f t="shared" ref="F11:F57" si="0">E11/D11</f>
        <v>21</v>
      </c>
      <c r="G11" s="10" t="s">
        <v>4</v>
      </c>
      <c r="H11" s="1"/>
    </row>
    <row r="12" spans="1:8" x14ac:dyDescent="0.25">
      <c r="A12" s="1"/>
      <c r="B12" s="41" t="s">
        <v>113</v>
      </c>
      <c r="C12" s="39">
        <v>2015</v>
      </c>
      <c r="D12" s="39">
        <v>75</v>
      </c>
      <c r="E12" s="37">
        <v>205031</v>
      </c>
      <c r="F12" s="20">
        <f t="shared" si="0"/>
        <v>2733.7466666666664</v>
      </c>
      <c r="G12" s="10" t="s">
        <v>4</v>
      </c>
      <c r="H12" s="1"/>
    </row>
    <row r="13" spans="1:8" x14ac:dyDescent="0.25">
      <c r="A13" s="1"/>
      <c r="B13" s="41" t="s">
        <v>115</v>
      </c>
      <c r="C13" s="39">
        <v>2015</v>
      </c>
      <c r="D13" s="39">
        <v>8</v>
      </c>
      <c r="E13" s="37">
        <v>2782691</v>
      </c>
      <c r="F13" s="20">
        <f t="shared" si="0"/>
        <v>347836.375</v>
      </c>
      <c r="G13" s="10" t="s">
        <v>4</v>
      </c>
      <c r="H13" s="1"/>
    </row>
    <row r="14" spans="1:8" x14ac:dyDescent="0.25">
      <c r="A14" s="1"/>
      <c r="B14" s="41" t="s">
        <v>116</v>
      </c>
      <c r="C14" s="39">
        <v>2015</v>
      </c>
      <c r="D14" s="39">
        <v>10</v>
      </c>
      <c r="E14" s="37">
        <v>48900</v>
      </c>
      <c r="F14" s="20">
        <f t="shared" si="0"/>
        <v>4890</v>
      </c>
      <c r="G14" s="10" t="s">
        <v>4</v>
      </c>
      <c r="H14" s="1"/>
    </row>
    <row r="15" spans="1:8" x14ac:dyDescent="0.25">
      <c r="A15" s="1"/>
      <c r="B15" s="41" t="s">
        <v>117</v>
      </c>
      <c r="C15" s="39">
        <v>2015</v>
      </c>
      <c r="D15" s="39">
        <v>75</v>
      </c>
      <c r="E15" s="37">
        <v>198538</v>
      </c>
      <c r="F15" s="20">
        <f t="shared" si="0"/>
        <v>2647.1733333333332</v>
      </c>
      <c r="G15" s="10" t="s">
        <v>4</v>
      </c>
      <c r="H15" s="1"/>
    </row>
    <row r="16" spans="1:8" x14ac:dyDescent="0.25">
      <c r="A16" s="1"/>
      <c r="B16" s="41" t="s">
        <v>114</v>
      </c>
      <c r="C16" s="39">
        <v>2015</v>
      </c>
      <c r="D16" s="39">
        <v>75</v>
      </c>
      <c r="E16" s="37">
        <v>1058869</v>
      </c>
      <c r="F16" s="20">
        <f t="shared" si="0"/>
        <v>14118.253333333334</v>
      </c>
      <c r="G16" s="10" t="s">
        <v>4</v>
      </c>
      <c r="H16" s="1"/>
    </row>
    <row r="17" spans="1:8" x14ac:dyDescent="0.25">
      <c r="A17" s="1"/>
      <c r="B17" s="41" t="s">
        <v>118</v>
      </c>
      <c r="C17" s="39">
        <v>2015</v>
      </c>
      <c r="D17" s="39">
        <v>75</v>
      </c>
      <c r="E17" s="37">
        <v>66179</v>
      </c>
      <c r="F17" s="20">
        <f t="shared" si="0"/>
        <v>882.38666666666666</v>
      </c>
      <c r="G17" s="10" t="s">
        <v>4</v>
      </c>
      <c r="H17" s="1"/>
    </row>
    <row r="18" spans="1:8" x14ac:dyDescent="0.25">
      <c r="A18" s="1"/>
      <c r="B18" s="41" t="s">
        <v>114</v>
      </c>
      <c r="C18" s="39">
        <v>2015</v>
      </c>
      <c r="D18" s="39">
        <v>75</v>
      </c>
      <c r="E18" s="37">
        <v>105223</v>
      </c>
      <c r="F18" s="20">
        <f t="shared" si="0"/>
        <v>1402.9733333333334</v>
      </c>
      <c r="G18" s="10" t="s">
        <v>4</v>
      </c>
      <c r="H18" s="1"/>
    </row>
    <row r="19" spans="1:8" x14ac:dyDescent="0.25">
      <c r="A19" s="1"/>
      <c r="B19" s="41" t="s">
        <v>113</v>
      </c>
      <c r="C19" s="39">
        <v>2015</v>
      </c>
      <c r="D19" s="39">
        <v>75</v>
      </c>
      <c r="E19" s="37">
        <v>139890</v>
      </c>
      <c r="F19" s="20">
        <f t="shared" si="0"/>
        <v>1865.2</v>
      </c>
      <c r="G19" s="10" t="s">
        <v>4</v>
      </c>
      <c r="H19" s="1"/>
    </row>
    <row r="20" spans="1:8" x14ac:dyDescent="0.25">
      <c r="A20" s="1"/>
      <c r="B20" s="41" t="s">
        <v>117</v>
      </c>
      <c r="C20" s="39">
        <v>2015</v>
      </c>
      <c r="D20" s="39">
        <v>75</v>
      </c>
      <c r="E20" s="37">
        <v>46630</v>
      </c>
      <c r="F20" s="20">
        <f t="shared" si="0"/>
        <v>621.73333333333335</v>
      </c>
      <c r="G20" s="10" t="s">
        <v>4</v>
      </c>
      <c r="H20" s="1"/>
    </row>
    <row r="21" spans="1:8" x14ac:dyDescent="0.25">
      <c r="A21" s="1"/>
      <c r="B21" s="41" t="s">
        <v>113</v>
      </c>
      <c r="C21" s="39">
        <v>2015</v>
      </c>
      <c r="D21" s="39">
        <v>75</v>
      </c>
      <c r="E21" s="37">
        <v>85922</v>
      </c>
      <c r="F21" s="20">
        <f t="shared" si="0"/>
        <v>1145.6266666666668</v>
      </c>
      <c r="G21" s="10" t="s">
        <v>4</v>
      </c>
      <c r="H21" s="1"/>
    </row>
    <row r="22" spans="1:8" x14ac:dyDescent="0.25">
      <c r="A22" s="1"/>
      <c r="B22" s="41" t="s">
        <v>113</v>
      </c>
      <c r="C22" s="39">
        <v>2015</v>
      </c>
      <c r="D22" s="39">
        <v>75</v>
      </c>
      <c r="E22" s="37">
        <v>2614436</v>
      </c>
      <c r="F22" s="20">
        <f t="shared" si="0"/>
        <v>34859.146666666667</v>
      </c>
      <c r="G22" s="10" t="s">
        <v>4</v>
      </c>
      <c r="H22" s="1"/>
    </row>
    <row r="23" spans="1:8" x14ac:dyDescent="0.25">
      <c r="A23" s="1"/>
      <c r="B23" s="41" t="s">
        <v>119</v>
      </c>
      <c r="C23" s="39">
        <v>2015</v>
      </c>
      <c r="D23" s="39">
        <v>75</v>
      </c>
      <c r="E23" s="37">
        <v>137602</v>
      </c>
      <c r="F23" s="20">
        <f t="shared" si="0"/>
        <v>1834.6933333333334</v>
      </c>
      <c r="G23" s="10" t="s">
        <v>4</v>
      </c>
      <c r="H23" s="1"/>
    </row>
    <row r="24" spans="1:8" x14ac:dyDescent="0.25">
      <c r="A24" s="1"/>
      <c r="B24" s="41" t="s">
        <v>120</v>
      </c>
      <c r="C24" s="39">
        <v>2015</v>
      </c>
      <c r="D24" s="39">
        <v>10</v>
      </c>
      <c r="E24" s="37">
        <v>134241</v>
      </c>
      <c r="F24" s="20">
        <f t="shared" si="0"/>
        <v>13424.1</v>
      </c>
      <c r="G24" s="10" t="s">
        <v>4</v>
      </c>
      <c r="H24" s="1"/>
    </row>
    <row r="25" spans="1:8" x14ac:dyDescent="0.25">
      <c r="A25" s="1"/>
      <c r="B25" s="41" t="s">
        <v>121</v>
      </c>
      <c r="C25" s="39">
        <v>2015</v>
      </c>
      <c r="D25" s="39">
        <v>50</v>
      </c>
      <c r="E25" s="37">
        <v>168915</v>
      </c>
      <c r="F25" s="20">
        <f t="shared" si="0"/>
        <v>3378.3</v>
      </c>
      <c r="G25" s="10" t="s">
        <v>4</v>
      </c>
      <c r="H25" s="1"/>
    </row>
    <row r="26" spans="1:8" x14ac:dyDescent="0.25">
      <c r="A26" s="1"/>
      <c r="B26" s="41" t="s">
        <v>122</v>
      </c>
      <c r="C26" s="39">
        <v>2015</v>
      </c>
      <c r="D26" s="39">
        <v>15</v>
      </c>
      <c r="E26" s="37">
        <v>153196</v>
      </c>
      <c r="F26" s="20">
        <f t="shared" si="0"/>
        <v>10213.066666666668</v>
      </c>
      <c r="G26" s="10" t="s">
        <v>4</v>
      </c>
      <c r="H26" s="1"/>
    </row>
    <row r="27" spans="1:8" x14ac:dyDescent="0.25">
      <c r="A27" s="1"/>
      <c r="B27" s="41" t="s">
        <v>113</v>
      </c>
      <c r="C27" s="39">
        <v>2015</v>
      </c>
      <c r="D27" s="39">
        <v>75</v>
      </c>
      <c r="E27" s="37">
        <v>149220</v>
      </c>
      <c r="F27" s="20">
        <f t="shared" si="0"/>
        <v>1989.6</v>
      </c>
      <c r="G27" s="10" t="s">
        <v>4</v>
      </c>
      <c r="H27" s="1"/>
    </row>
    <row r="28" spans="1:8" x14ac:dyDescent="0.25">
      <c r="A28" s="1"/>
      <c r="B28" s="41" t="s">
        <v>122</v>
      </c>
      <c r="C28" s="39">
        <v>2015</v>
      </c>
      <c r="D28" s="39">
        <v>15</v>
      </c>
      <c r="E28" s="37">
        <v>142424</v>
      </c>
      <c r="F28" s="20">
        <f t="shared" si="0"/>
        <v>9494.9333333333325</v>
      </c>
      <c r="G28" s="10" t="s">
        <v>4</v>
      </c>
      <c r="H28" s="1"/>
    </row>
    <row r="29" spans="1:8" x14ac:dyDescent="0.25">
      <c r="A29" s="1"/>
      <c r="B29" s="41" t="s">
        <v>121</v>
      </c>
      <c r="C29" s="39">
        <v>2015</v>
      </c>
      <c r="D29" s="39">
        <v>50</v>
      </c>
      <c r="E29" s="37">
        <v>126528</v>
      </c>
      <c r="F29" s="20">
        <f t="shared" si="0"/>
        <v>2530.56</v>
      </c>
      <c r="G29" s="10" t="s">
        <v>4</v>
      </c>
      <c r="H29" s="1"/>
    </row>
    <row r="30" spans="1:8" x14ac:dyDescent="0.25">
      <c r="A30" s="1"/>
      <c r="B30" s="41" t="s">
        <v>117</v>
      </c>
      <c r="C30" s="39">
        <v>2015</v>
      </c>
      <c r="D30" s="39">
        <v>75</v>
      </c>
      <c r="E30" s="37">
        <v>120471</v>
      </c>
      <c r="F30" s="20">
        <f t="shared" si="0"/>
        <v>1606.28</v>
      </c>
      <c r="G30" s="10" t="s">
        <v>4</v>
      </c>
      <c r="H30" s="1"/>
    </row>
    <row r="31" spans="1:8" x14ac:dyDescent="0.25">
      <c r="A31" s="1"/>
      <c r="B31" s="41" t="s">
        <v>122</v>
      </c>
      <c r="C31" s="39">
        <v>2015</v>
      </c>
      <c r="D31" s="39">
        <v>15</v>
      </c>
      <c r="E31" s="37">
        <v>150415</v>
      </c>
      <c r="F31" s="20">
        <f t="shared" si="0"/>
        <v>10027.666666666666</v>
      </c>
      <c r="G31" s="10" t="s">
        <v>4</v>
      </c>
      <c r="H31" s="1"/>
    </row>
    <row r="32" spans="1:8" x14ac:dyDescent="0.25">
      <c r="A32" s="1"/>
      <c r="B32" s="41" t="s">
        <v>121</v>
      </c>
      <c r="C32" s="39">
        <v>2015</v>
      </c>
      <c r="D32" s="39">
        <v>50</v>
      </c>
      <c r="E32" s="37">
        <v>107335</v>
      </c>
      <c r="F32" s="20">
        <f t="shared" si="0"/>
        <v>2146.6999999999998</v>
      </c>
      <c r="G32" s="10" t="s">
        <v>4</v>
      </c>
      <c r="H32" s="1"/>
    </row>
    <row r="33" spans="1:8" x14ac:dyDescent="0.25">
      <c r="A33" s="1"/>
      <c r="B33" s="41" t="s">
        <v>117</v>
      </c>
      <c r="C33" s="39">
        <v>2015</v>
      </c>
      <c r="D33" s="39">
        <v>75</v>
      </c>
      <c r="E33" s="37">
        <v>250989</v>
      </c>
      <c r="F33" s="20">
        <f t="shared" si="0"/>
        <v>3346.52</v>
      </c>
      <c r="G33" s="10" t="s">
        <v>4</v>
      </c>
      <c r="H33" s="1"/>
    </row>
    <row r="34" spans="1:8" x14ac:dyDescent="0.25">
      <c r="A34" s="1"/>
      <c r="B34" s="41" t="s">
        <v>117</v>
      </c>
      <c r="C34" s="39">
        <v>2015</v>
      </c>
      <c r="D34" s="39">
        <v>75</v>
      </c>
      <c r="E34" s="37">
        <v>52276</v>
      </c>
      <c r="F34" s="20">
        <f t="shared" si="0"/>
        <v>697.01333333333332</v>
      </c>
      <c r="G34" s="10" t="s">
        <v>4</v>
      </c>
      <c r="H34" s="1"/>
    </row>
    <row r="35" spans="1:8" x14ac:dyDescent="0.25">
      <c r="A35" s="1"/>
      <c r="B35" s="41" t="s">
        <v>114</v>
      </c>
      <c r="C35" s="39">
        <v>2015</v>
      </c>
      <c r="D35" s="39">
        <v>75</v>
      </c>
      <c r="E35" s="37">
        <v>259675</v>
      </c>
      <c r="F35" s="20">
        <f t="shared" si="0"/>
        <v>3462.3333333333335</v>
      </c>
      <c r="G35" s="10" t="s">
        <v>4</v>
      </c>
      <c r="H35" s="1"/>
    </row>
    <row r="36" spans="1:8" x14ac:dyDescent="0.25">
      <c r="A36" s="1"/>
      <c r="B36" s="41" t="s">
        <v>113</v>
      </c>
      <c r="C36" s="39">
        <v>2015</v>
      </c>
      <c r="D36" s="39">
        <v>75</v>
      </c>
      <c r="E36" s="37">
        <v>170352</v>
      </c>
      <c r="F36" s="20">
        <f t="shared" si="0"/>
        <v>2271.36</v>
      </c>
      <c r="G36" s="10" t="s">
        <v>4</v>
      </c>
      <c r="H36" s="1"/>
    </row>
    <row r="37" spans="1:8" x14ac:dyDescent="0.25">
      <c r="A37" s="1"/>
      <c r="B37" s="41" t="s">
        <v>123</v>
      </c>
      <c r="C37" s="39">
        <v>2015</v>
      </c>
      <c r="D37" s="39">
        <v>25</v>
      </c>
      <c r="E37" s="37">
        <v>168512</v>
      </c>
      <c r="F37" s="20">
        <f t="shared" si="0"/>
        <v>6740.48</v>
      </c>
      <c r="G37" s="10" t="s">
        <v>4</v>
      </c>
      <c r="H37" s="1"/>
    </row>
    <row r="38" spans="1:8" x14ac:dyDescent="0.25">
      <c r="A38" s="1"/>
      <c r="B38" s="41" t="s">
        <v>114</v>
      </c>
      <c r="C38" s="39">
        <v>2015</v>
      </c>
      <c r="D38" s="39">
        <v>75</v>
      </c>
      <c r="E38" s="37">
        <v>20728</v>
      </c>
      <c r="F38" s="20">
        <f t="shared" si="0"/>
        <v>276.37333333333333</v>
      </c>
      <c r="G38" s="10" t="s">
        <v>4</v>
      </c>
      <c r="H38" s="1"/>
    </row>
    <row r="39" spans="1:8" x14ac:dyDescent="0.25">
      <c r="A39" s="1"/>
      <c r="B39" s="41" t="s">
        <v>114</v>
      </c>
      <c r="C39" s="39">
        <v>2015</v>
      </c>
      <c r="D39" s="39">
        <v>75</v>
      </c>
      <c r="E39" s="37">
        <v>18870</v>
      </c>
      <c r="F39" s="20">
        <f t="shared" si="0"/>
        <v>251.6</v>
      </c>
      <c r="G39" s="10" t="s">
        <v>4</v>
      </c>
      <c r="H39" s="1"/>
    </row>
    <row r="40" spans="1:8" x14ac:dyDescent="0.25">
      <c r="A40" s="1"/>
      <c r="B40" s="41" t="s">
        <v>113</v>
      </c>
      <c r="C40" s="39">
        <v>2015</v>
      </c>
      <c r="D40" s="39">
        <v>75</v>
      </c>
      <c r="E40" s="37">
        <v>722861</v>
      </c>
      <c r="F40" s="20">
        <f t="shared" si="0"/>
        <v>9638.1466666666674</v>
      </c>
      <c r="G40" s="10" t="s">
        <v>4</v>
      </c>
      <c r="H40" s="1"/>
    </row>
    <row r="41" spans="1:8" x14ac:dyDescent="0.25">
      <c r="A41" s="1"/>
      <c r="B41" s="41" t="s">
        <v>114</v>
      </c>
      <c r="C41" s="39">
        <v>2015</v>
      </c>
      <c r="D41" s="39">
        <v>75</v>
      </c>
      <c r="E41" s="37">
        <v>29135</v>
      </c>
      <c r="F41" s="20">
        <f t="shared" si="0"/>
        <v>388.46666666666664</v>
      </c>
      <c r="G41" s="10" t="s">
        <v>4</v>
      </c>
      <c r="H41" s="1"/>
    </row>
    <row r="42" spans="1:8" x14ac:dyDescent="0.25">
      <c r="A42" s="1"/>
      <c r="B42" s="41" t="s">
        <v>114</v>
      </c>
      <c r="C42" s="39">
        <v>2015</v>
      </c>
      <c r="D42" s="39">
        <v>75</v>
      </c>
      <c r="E42" s="37">
        <v>32593</v>
      </c>
      <c r="F42" s="20">
        <f t="shared" si="0"/>
        <v>434.57333333333332</v>
      </c>
      <c r="G42" s="10" t="s">
        <v>4</v>
      </c>
      <c r="H42" s="1"/>
    </row>
    <row r="43" spans="1:8" x14ac:dyDescent="0.25">
      <c r="A43" s="1"/>
      <c r="B43" s="41" t="s">
        <v>124</v>
      </c>
      <c r="C43" s="39">
        <v>2015</v>
      </c>
      <c r="D43" s="39">
        <v>100</v>
      </c>
      <c r="E43" s="37">
        <v>21062</v>
      </c>
      <c r="F43" s="20">
        <f t="shared" si="0"/>
        <v>210.62</v>
      </c>
      <c r="G43" s="10" t="s">
        <v>4</v>
      </c>
      <c r="H43" s="1"/>
    </row>
    <row r="44" spans="1:8" x14ac:dyDescent="0.25">
      <c r="A44" s="1"/>
      <c r="B44" s="41" t="s">
        <v>114</v>
      </c>
      <c r="C44" s="39">
        <v>2015</v>
      </c>
      <c r="D44" s="39">
        <v>75</v>
      </c>
      <c r="E44" s="37">
        <v>53602</v>
      </c>
      <c r="F44" s="20">
        <f t="shared" si="0"/>
        <v>714.69333333333338</v>
      </c>
      <c r="G44" s="10" t="s">
        <v>4</v>
      </c>
      <c r="H44" s="1"/>
    </row>
    <row r="45" spans="1:8" x14ac:dyDescent="0.25">
      <c r="A45" s="1"/>
      <c r="B45" s="41" t="s">
        <v>114</v>
      </c>
      <c r="C45" s="39">
        <v>2015</v>
      </c>
      <c r="D45" s="39">
        <v>75</v>
      </c>
      <c r="E45" s="37">
        <v>18750</v>
      </c>
      <c r="F45" s="20">
        <f t="shared" si="0"/>
        <v>250</v>
      </c>
      <c r="G45" s="10" t="s">
        <v>4</v>
      </c>
      <c r="H45" s="1"/>
    </row>
    <row r="46" spans="1:8" x14ac:dyDescent="0.25">
      <c r="A46" s="1"/>
      <c r="B46" s="41" t="s">
        <v>114</v>
      </c>
      <c r="C46" s="39">
        <v>2015</v>
      </c>
      <c r="D46" s="39">
        <v>75</v>
      </c>
      <c r="E46" s="37">
        <v>38843</v>
      </c>
      <c r="F46" s="20">
        <f t="shared" si="0"/>
        <v>517.90666666666664</v>
      </c>
      <c r="G46" s="10" t="s">
        <v>4</v>
      </c>
      <c r="H46" s="1"/>
    </row>
    <row r="47" spans="1:8" x14ac:dyDescent="0.25">
      <c r="A47" s="1"/>
      <c r="B47" s="41" t="s">
        <v>125</v>
      </c>
      <c r="C47" s="39">
        <v>2015</v>
      </c>
      <c r="D47" s="39">
        <v>75</v>
      </c>
      <c r="E47" s="37">
        <v>54614</v>
      </c>
      <c r="F47" s="20">
        <f t="shared" si="0"/>
        <v>728.18666666666661</v>
      </c>
      <c r="G47" s="10" t="s">
        <v>4</v>
      </c>
      <c r="H47" s="1"/>
    </row>
    <row r="48" spans="1:8" x14ac:dyDescent="0.25">
      <c r="A48" s="1"/>
      <c r="B48" s="41" t="s">
        <v>125</v>
      </c>
      <c r="C48" s="39">
        <v>2015</v>
      </c>
      <c r="D48" s="39">
        <v>75</v>
      </c>
      <c r="E48" s="37">
        <v>532934</v>
      </c>
      <c r="F48" s="20">
        <f t="shared" si="0"/>
        <v>7105.7866666666669</v>
      </c>
      <c r="G48" s="10" t="s">
        <v>4</v>
      </c>
      <c r="H48" s="1"/>
    </row>
    <row r="49" spans="1:8" x14ac:dyDescent="0.25">
      <c r="A49" s="1"/>
      <c r="B49" s="41" t="s">
        <v>117</v>
      </c>
      <c r="C49" s="39">
        <v>2015</v>
      </c>
      <c r="D49" s="39">
        <v>75</v>
      </c>
      <c r="E49" s="37">
        <v>355292</v>
      </c>
      <c r="F49" s="20">
        <f t="shared" si="0"/>
        <v>4737.2266666666665</v>
      </c>
      <c r="G49" s="10" t="s">
        <v>4</v>
      </c>
      <c r="H49" s="1"/>
    </row>
    <row r="50" spans="1:8" x14ac:dyDescent="0.25">
      <c r="A50" s="1"/>
      <c r="B50" s="41" t="s">
        <v>114</v>
      </c>
      <c r="C50" s="39">
        <v>2015</v>
      </c>
      <c r="D50" s="39">
        <v>75</v>
      </c>
      <c r="E50" s="37">
        <v>2309395</v>
      </c>
      <c r="F50" s="20">
        <f t="shared" si="0"/>
        <v>30791.933333333334</v>
      </c>
      <c r="G50" s="10" t="s">
        <v>4</v>
      </c>
      <c r="H50" s="1"/>
    </row>
    <row r="51" spans="1:8" x14ac:dyDescent="0.25">
      <c r="A51" s="1"/>
      <c r="B51" s="41" t="s">
        <v>126</v>
      </c>
      <c r="C51" s="39">
        <v>2015</v>
      </c>
      <c r="D51" s="39">
        <v>75</v>
      </c>
      <c r="E51" s="37">
        <v>177646</v>
      </c>
      <c r="F51" s="20">
        <f t="shared" si="0"/>
        <v>2368.6133333333332</v>
      </c>
      <c r="G51" s="10" t="s">
        <v>4</v>
      </c>
      <c r="H51" s="1"/>
    </row>
    <row r="52" spans="1:8" x14ac:dyDescent="0.25">
      <c r="A52" s="1"/>
      <c r="B52" s="41" t="s">
        <v>118</v>
      </c>
      <c r="C52" s="39">
        <v>2015</v>
      </c>
      <c r="D52" s="39">
        <v>75</v>
      </c>
      <c r="E52" s="37">
        <v>177646</v>
      </c>
      <c r="F52" s="20">
        <f t="shared" si="0"/>
        <v>2368.6133333333332</v>
      </c>
      <c r="G52" s="10" t="s">
        <v>4</v>
      </c>
      <c r="H52" s="1"/>
    </row>
    <row r="53" spans="1:8" x14ac:dyDescent="0.25">
      <c r="A53" s="1"/>
      <c r="B53" s="41" t="s">
        <v>118</v>
      </c>
      <c r="C53" s="39">
        <v>2015</v>
      </c>
      <c r="D53" s="39">
        <v>75</v>
      </c>
      <c r="E53" s="37">
        <v>212246</v>
      </c>
      <c r="F53" s="20">
        <f t="shared" si="0"/>
        <v>2829.9466666666667</v>
      </c>
      <c r="G53" s="10" t="s">
        <v>4</v>
      </c>
      <c r="H53" s="1"/>
    </row>
    <row r="54" spans="1:8" x14ac:dyDescent="0.25">
      <c r="A54" s="1"/>
      <c r="B54" s="41" t="s">
        <v>117</v>
      </c>
      <c r="C54" s="39">
        <v>2015</v>
      </c>
      <c r="D54" s="39">
        <v>75</v>
      </c>
      <c r="E54" s="37">
        <v>868863</v>
      </c>
      <c r="F54" s="20">
        <f t="shared" si="0"/>
        <v>11584.84</v>
      </c>
      <c r="G54" s="10" t="s">
        <v>4</v>
      </c>
      <c r="H54" s="1"/>
    </row>
    <row r="55" spans="1:8" x14ac:dyDescent="0.25">
      <c r="A55" s="1"/>
      <c r="B55" s="41" t="s">
        <v>114</v>
      </c>
      <c r="C55" s="39">
        <v>2015</v>
      </c>
      <c r="D55" s="39">
        <v>75</v>
      </c>
      <c r="E55" s="37">
        <v>96540</v>
      </c>
      <c r="F55" s="20">
        <f t="shared" si="0"/>
        <v>1287.2</v>
      </c>
      <c r="G55" s="10" t="s">
        <v>4</v>
      </c>
      <c r="H55" s="1"/>
    </row>
    <row r="56" spans="1:8" x14ac:dyDescent="0.25">
      <c r="A56" s="1"/>
      <c r="B56" s="41" t="s">
        <v>122</v>
      </c>
      <c r="C56" s="39">
        <v>2015</v>
      </c>
      <c r="D56" s="39">
        <v>15</v>
      </c>
      <c r="E56" s="37">
        <v>188262</v>
      </c>
      <c r="F56" s="20">
        <f t="shared" si="0"/>
        <v>12550.8</v>
      </c>
      <c r="G56" s="10" t="s">
        <v>4</v>
      </c>
      <c r="H56" s="1"/>
    </row>
    <row r="57" spans="1:8" x14ac:dyDescent="0.25">
      <c r="A57" s="1"/>
      <c r="B57" s="41" t="s">
        <v>121</v>
      </c>
      <c r="C57" s="39">
        <v>2015</v>
      </c>
      <c r="D57" s="39">
        <v>50</v>
      </c>
      <c r="E57" s="37">
        <v>262013</v>
      </c>
      <c r="F57" s="20">
        <f t="shared" si="0"/>
        <v>5240.26</v>
      </c>
      <c r="G57" s="10" t="s">
        <v>4</v>
      </c>
      <c r="H57" s="1"/>
    </row>
    <row r="58" spans="1:8" x14ac:dyDescent="0.25">
      <c r="A58" s="1"/>
      <c r="B58" s="75" t="s">
        <v>127</v>
      </c>
      <c r="C58" s="76"/>
      <c r="D58" s="76"/>
      <c r="E58" s="77"/>
      <c r="F58" s="33">
        <f>SUM(F10:F57)</f>
        <v>581637.9016666665</v>
      </c>
      <c r="G58" s="18" t="s">
        <v>4</v>
      </c>
      <c r="H58" s="1"/>
    </row>
    <row r="59" spans="1:8" x14ac:dyDescent="0.25">
      <c r="A59" s="1"/>
      <c r="B59" s="1"/>
      <c r="C59" s="1"/>
      <c r="D59" s="1"/>
      <c r="E59" s="1"/>
      <c r="F59" s="1"/>
      <c r="G59" s="1"/>
      <c r="H59" s="1"/>
    </row>
    <row r="60" spans="1:8" x14ac:dyDescent="0.25">
      <c r="A60" s="1"/>
      <c r="B60" s="1"/>
      <c r="C60" s="1"/>
      <c r="D60" s="1"/>
      <c r="E60" s="1"/>
      <c r="F60" s="1"/>
      <c r="G60" s="1"/>
      <c r="H60" s="1"/>
    </row>
    <row r="61" spans="1:8" x14ac:dyDescent="0.25">
      <c r="A61" s="1"/>
      <c r="B61" s="1"/>
      <c r="C61" s="1"/>
      <c r="D61" s="1"/>
      <c r="E61" s="1"/>
      <c r="F61" s="1"/>
      <c r="G61" s="1"/>
      <c r="H61" s="1"/>
    </row>
    <row r="62" spans="1:8" x14ac:dyDescent="0.25">
      <c r="A62" s="1"/>
      <c r="B62" s="1"/>
      <c r="C62" s="1"/>
      <c r="D62" s="1"/>
      <c r="E62" s="1"/>
      <c r="F62" s="1"/>
      <c r="G62" s="1"/>
      <c r="H62" s="1"/>
    </row>
    <row r="63" spans="1:8" x14ac:dyDescent="0.25">
      <c r="A63" s="6"/>
      <c r="B63" s="6"/>
      <c r="C63" s="6"/>
      <c r="D63" s="6"/>
      <c r="E63" s="6"/>
      <c r="F63" s="6"/>
      <c r="G63" s="6"/>
      <c r="H63" s="6"/>
    </row>
    <row r="64" spans="1:8" x14ac:dyDescent="0.25">
      <c r="A64" s="6"/>
      <c r="B64" s="6"/>
      <c r="C64" s="6"/>
      <c r="D64" s="6"/>
      <c r="E64" s="6"/>
      <c r="F64" s="6"/>
      <c r="G64" s="6"/>
      <c r="H64" s="6"/>
    </row>
    <row r="65" spans="1:8" x14ac:dyDescent="0.25">
      <c r="A65" s="6"/>
      <c r="B65" s="6"/>
      <c r="C65" s="6"/>
      <c r="D65" s="6"/>
      <c r="E65" s="6"/>
      <c r="F65" s="6"/>
      <c r="G65" s="6"/>
      <c r="H65" s="6"/>
    </row>
    <row r="66" spans="1:8" x14ac:dyDescent="0.25">
      <c r="A66" s="6"/>
      <c r="B66" s="6"/>
      <c r="C66" s="6"/>
      <c r="D66" s="6"/>
      <c r="E66" s="6"/>
      <c r="F66" s="6"/>
      <c r="G66" s="6"/>
      <c r="H66" s="6"/>
    </row>
    <row r="67" spans="1:8" x14ac:dyDescent="0.25">
      <c r="A67" s="6"/>
      <c r="B67" s="6"/>
      <c r="C67" s="6"/>
      <c r="D67" s="6"/>
      <c r="E67" s="6"/>
      <c r="F67" s="6"/>
      <c r="G67" s="6"/>
      <c r="H67" s="6"/>
    </row>
    <row r="68" spans="1:8" x14ac:dyDescent="0.25">
      <c r="A68" s="6"/>
      <c r="B68" s="6"/>
      <c r="C68" s="6"/>
      <c r="D68" s="6"/>
      <c r="E68" s="6"/>
      <c r="F68" s="6"/>
      <c r="G68" s="6"/>
      <c r="H68" s="6"/>
    </row>
    <row r="69" spans="1:8" x14ac:dyDescent="0.25">
      <c r="A69" s="6"/>
      <c r="B69" s="6"/>
      <c r="C69" s="6"/>
      <c r="D69" s="6"/>
      <c r="E69" s="6"/>
      <c r="F69" s="6"/>
      <c r="G69" s="6"/>
      <c r="H69" s="6"/>
    </row>
    <row r="70" spans="1:8" x14ac:dyDescent="0.25">
      <c r="A70" s="6"/>
      <c r="B70" s="6"/>
      <c r="C70" s="6"/>
      <c r="D70" s="6"/>
      <c r="E70" s="6"/>
      <c r="F70" s="6"/>
      <c r="G70" s="6"/>
      <c r="H70" s="6"/>
    </row>
    <row r="71" spans="1:8" x14ac:dyDescent="0.25">
      <c r="A71" s="6"/>
      <c r="B71" s="6"/>
      <c r="C71" s="6"/>
      <c r="D71" s="6"/>
      <c r="E71" s="6"/>
      <c r="F71" s="6"/>
      <c r="G71" s="6"/>
      <c r="H71" s="6"/>
    </row>
    <row r="72" spans="1:8" x14ac:dyDescent="0.25">
      <c r="A72" s="6"/>
      <c r="B72" s="6"/>
      <c r="C72" s="6"/>
      <c r="D72" s="6"/>
      <c r="E72" s="6"/>
      <c r="F72" s="6"/>
      <c r="G72" s="6"/>
      <c r="H72" s="6"/>
    </row>
    <row r="73" spans="1:8" x14ac:dyDescent="0.25">
      <c r="A73" s="6"/>
      <c r="B73" s="6"/>
      <c r="C73" s="6"/>
      <c r="D73" s="6"/>
      <c r="E73" s="6"/>
      <c r="F73" s="6"/>
      <c r="G73" s="6"/>
      <c r="H73" s="6"/>
    </row>
    <row r="74" spans="1:8" x14ac:dyDescent="0.25">
      <c r="A74" s="6"/>
      <c r="B74" s="6"/>
      <c r="C74" s="6"/>
      <c r="D74" s="6"/>
      <c r="E74" s="6"/>
      <c r="F74" s="6"/>
      <c r="G74" s="6"/>
      <c r="H74" s="6"/>
    </row>
    <row r="75" spans="1:8" x14ac:dyDescent="0.25">
      <c r="A75" s="6"/>
      <c r="B75" s="6"/>
      <c r="C75" s="6"/>
      <c r="D75" s="6"/>
      <c r="E75" s="6"/>
      <c r="F75" s="6"/>
      <c r="G75" s="6"/>
      <c r="H75" s="6"/>
    </row>
    <row r="76" spans="1:8" x14ac:dyDescent="0.25">
      <c r="A76" s="6"/>
      <c r="B76" s="6"/>
      <c r="C76" s="6"/>
      <c r="D76" s="6"/>
      <c r="E76" s="6"/>
      <c r="F76" s="6"/>
      <c r="G76" s="6"/>
      <c r="H76" s="6"/>
    </row>
    <row r="77" spans="1:8" x14ac:dyDescent="0.25">
      <c r="A77" s="6"/>
      <c r="B77" s="6"/>
      <c r="C77" s="6"/>
      <c r="D77" s="6"/>
      <c r="E77" s="6"/>
      <c r="F77" s="6"/>
      <c r="G77" s="6"/>
      <c r="H77" s="6"/>
    </row>
    <row r="78" spans="1:8" x14ac:dyDescent="0.25">
      <c r="A78" s="6"/>
      <c r="B78" s="6"/>
      <c r="C78" s="6"/>
      <c r="D78" s="6"/>
      <c r="E78" s="6"/>
      <c r="F78" s="6"/>
      <c r="G78" s="6"/>
      <c r="H78" s="6"/>
    </row>
    <row r="79" spans="1:8" x14ac:dyDescent="0.25">
      <c r="A79" s="6"/>
      <c r="B79" s="6"/>
      <c r="C79" s="6"/>
      <c r="D79" s="6"/>
      <c r="E79" s="6"/>
      <c r="F79" s="6"/>
      <c r="G79" s="6"/>
      <c r="H79" s="6"/>
    </row>
    <row r="80" spans="1:8" x14ac:dyDescent="0.25">
      <c r="A80" s="6"/>
      <c r="B80" s="6"/>
      <c r="C80" s="6"/>
      <c r="D80" s="6"/>
      <c r="E80" s="6"/>
      <c r="F80" s="6"/>
      <c r="G80" s="6"/>
      <c r="H80" s="6"/>
    </row>
    <row r="81" spans="1:8" x14ac:dyDescent="0.25">
      <c r="A81" s="6"/>
      <c r="B81" s="6"/>
      <c r="C81" s="6"/>
      <c r="D81" s="6"/>
      <c r="E81" s="6"/>
      <c r="F81" s="6"/>
      <c r="G81" s="6"/>
      <c r="H81" s="6"/>
    </row>
    <row r="82" spans="1:8" x14ac:dyDescent="0.25">
      <c r="A82" s="6"/>
      <c r="B82" s="6"/>
      <c r="C82" s="6"/>
      <c r="D82" s="6"/>
      <c r="E82" s="6"/>
      <c r="F82" s="6"/>
      <c r="G82" s="6"/>
      <c r="H82" s="6"/>
    </row>
    <row r="83" spans="1:8" x14ac:dyDescent="0.25">
      <c r="A83" s="6"/>
      <c r="B83" s="6"/>
      <c r="C83" s="6"/>
      <c r="D83" s="6"/>
      <c r="E83" s="6"/>
      <c r="F83" s="6"/>
      <c r="G83" s="6"/>
      <c r="H83" s="6"/>
    </row>
    <row r="84" spans="1:8" x14ac:dyDescent="0.25">
      <c r="A84" s="6"/>
      <c r="B84" s="6"/>
      <c r="C84" s="6"/>
      <c r="D84" s="6"/>
      <c r="E84" s="6"/>
      <c r="F84" s="6"/>
      <c r="G84" s="6"/>
      <c r="H84" s="6"/>
    </row>
    <row r="85" spans="1:8" x14ac:dyDescent="0.25">
      <c r="A85" s="6"/>
      <c r="B85" s="6"/>
      <c r="C85" s="6"/>
      <c r="D85" s="6"/>
      <c r="E85" s="6"/>
      <c r="F85" s="6"/>
      <c r="G85" s="6"/>
      <c r="H85" s="6"/>
    </row>
    <row r="86" spans="1:8" x14ac:dyDescent="0.25">
      <c r="A86" s="6"/>
      <c r="B86" s="6"/>
      <c r="C86" s="6"/>
      <c r="D86" s="6"/>
      <c r="E86" s="6"/>
      <c r="F86" s="6"/>
      <c r="G86" s="6"/>
      <c r="H86" s="6"/>
    </row>
    <row r="87" spans="1:8" x14ac:dyDescent="0.25">
      <c r="A87" s="6"/>
      <c r="B87" s="6"/>
      <c r="C87" s="6"/>
      <c r="D87" s="6"/>
      <c r="E87" s="6"/>
      <c r="F87" s="6"/>
      <c r="G87" s="6"/>
      <c r="H87" s="6"/>
    </row>
    <row r="88" spans="1:8" x14ac:dyDescent="0.25">
      <c r="A88" s="6"/>
      <c r="B88" s="6"/>
      <c r="C88" s="6"/>
      <c r="D88" s="6"/>
      <c r="E88" s="6"/>
      <c r="F88" s="6"/>
      <c r="G88" s="6"/>
      <c r="H88" s="6"/>
    </row>
    <row r="89" spans="1:8" x14ac:dyDescent="0.25">
      <c r="A89" s="6"/>
      <c r="B89" s="6"/>
      <c r="C89" s="6"/>
      <c r="D89" s="6"/>
      <c r="E89" s="6"/>
      <c r="F89" s="6"/>
      <c r="G89" s="6"/>
      <c r="H89" s="6"/>
    </row>
    <row r="90" spans="1:8" x14ac:dyDescent="0.25">
      <c r="A90" s="6"/>
      <c r="B90" s="6"/>
      <c r="C90" s="6"/>
      <c r="D90" s="6"/>
      <c r="E90" s="6"/>
      <c r="F90" s="6"/>
      <c r="G90" s="6"/>
      <c r="H90" s="6"/>
    </row>
  </sheetData>
  <sheetProtection password="C6BD" sheet="1" objects="1" scenarios="1"/>
  <mergeCells count="4">
    <mergeCell ref="B58:E5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8" t="s">
        <v>7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5" t="s">
        <v>92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79" t="s">
        <v>80</v>
      </c>
      <c r="C9" s="80"/>
      <c r="D9" s="80"/>
      <c r="E9" s="80"/>
      <c r="F9" s="81"/>
      <c r="G9" s="37">
        <v>26916876</v>
      </c>
      <c r="H9" s="10" t="s">
        <v>4</v>
      </c>
      <c r="I9" s="1"/>
    </row>
    <row r="10" spans="1:9" x14ac:dyDescent="0.25">
      <c r="A10" s="1"/>
      <c r="B10" s="79" t="s">
        <v>81</v>
      </c>
      <c r="C10" s="80"/>
      <c r="D10" s="80"/>
      <c r="E10" s="80"/>
      <c r="F10" s="81"/>
      <c r="G10" s="37">
        <v>30306000</v>
      </c>
      <c r="H10" s="10" t="s">
        <v>4</v>
      </c>
      <c r="I10" s="1"/>
    </row>
    <row r="11" spans="1:9" x14ac:dyDescent="0.25">
      <c r="A11" s="1"/>
      <c r="B11" s="75" t="s">
        <v>82</v>
      </c>
      <c r="C11" s="76"/>
      <c r="D11" s="76"/>
      <c r="E11" s="76"/>
      <c r="F11" s="77"/>
      <c r="G11" s="33">
        <f>G9-G10</f>
        <v>-3389124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5" t="s">
        <v>83</v>
      </c>
      <c r="C14" s="96"/>
      <c r="D14" s="96"/>
      <c r="E14" s="96"/>
      <c r="F14" s="96"/>
      <c r="G14" s="96"/>
      <c r="H14" s="97"/>
      <c r="I14" s="1"/>
    </row>
    <row r="15" spans="1:9" x14ac:dyDescent="0.25">
      <c r="A15" s="1"/>
      <c r="B15" s="79" t="s">
        <v>84</v>
      </c>
      <c r="C15" s="80"/>
      <c r="D15" s="80"/>
      <c r="E15" s="80"/>
      <c r="F15" s="81"/>
      <c r="G15" s="37">
        <v>-173087</v>
      </c>
      <c r="H15" s="10" t="s">
        <v>4</v>
      </c>
      <c r="I15" s="1"/>
    </row>
    <row r="16" spans="1:9" x14ac:dyDescent="0.25">
      <c r="A16" s="1"/>
      <c r="B16" s="79" t="s">
        <v>85</v>
      </c>
      <c r="C16" s="80"/>
      <c r="D16" s="80"/>
      <c r="E16" s="80"/>
      <c r="F16" s="81"/>
      <c r="G16" s="37">
        <v>-300000</v>
      </c>
      <c r="H16" s="10" t="s">
        <v>4</v>
      </c>
      <c r="I16" s="1"/>
    </row>
    <row r="17" spans="1:9" x14ac:dyDescent="0.25">
      <c r="A17" s="1"/>
      <c r="B17" s="75" t="s">
        <v>86</v>
      </c>
      <c r="C17" s="76"/>
      <c r="D17" s="76"/>
      <c r="E17" s="76"/>
      <c r="F17" s="77"/>
      <c r="G17" s="33">
        <f>G15-G16</f>
        <v>126913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5" t="s">
        <v>93</v>
      </c>
      <c r="C20" s="96"/>
      <c r="D20" s="96"/>
      <c r="E20" s="96"/>
      <c r="F20" s="96"/>
      <c r="G20" s="96"/>
      <c r="H20" s="97"/>
      <c r="I20" s="1"/>
    </row>
    <row r="21" spans="1:9" x14ac:dyDescent="0.25">
      <c r="A21" s="1"/>
      <c r="B21" s="79" t="s">
        <v>94</v>
      </c>
      <c r="C21" s="80"/>
      <c r="D21" s="80"/>
      <c r="E21" s="80"/>
      <c r="F21" s="81"/>
      <c r="G21" s="37">
        <v>761441</v>
      </c>
      <c r="H21" s="10" t="s">
        <v>4</v>
      </c>
      <c r="I21" s="1"/>
    </row>
    <row r="22" spans="1:9" x14ac:dyDescent="0.25">
      <c r="A22" s="1"/>
      <c r="B22" s="79" t="s">
        <v>96</v>
      </c>
      <c r="C22" s="80"/>
      <c r="D22" s="80"/>
      <c r="E22" s="80"/>
      <c r="F22" s="81"/>
      <c r="G22" s="37">
        <v>623600</v>
      </c>
      <c r="H22" s="10" t="s">
        <v>4</v>
      </c>
      <c r="I22" s="1"/>
    </row>
    <row r="23" spans="1:9" x14ac:dyDescent="0.25">
      <c r="A23" s="1"/>
      <c r="B23" s="75" t="s">
        <v>95</v>
      </c>
      <c r="C23" s="76"/>
      <c r="D23" s="76"/>
      <c r="E23" s="76"/>
      <c r="F23" s="77"/>
      <c r="G23" s="33">
        <f>G21-G22</f>
        <v>137841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5" t="s">
        <v>87</v>
      </c>
      <c r="C26" s="96"/>
      <c r="D26" s="96"/>
      <c r="E26" s="96"/>
      <c r="F26" s="96"/>
      <c r="G26" s="96"/>
      <c r="H26" s="97"/>
      <c r="I26" s="1"/>
    </row>
    <row r="27" spans="1:9" x14ac:dyDescent="0.25">
      <c r="A27" s="1"/>
      <c r="B27" s="79" t="s">
        <v>88</v>
      </c>
      <c r="C27" s="80"/>
      <c r="D27" s="80"/>
      <c r="E27" s="80"/>
      <c r="F27" s="81"/>
      <c r="G27" s="37">
        <v>207333</v>
      </c>
      <c r="H27" s="10" t="s">
        <v>4</v>
      </c>
      <c r="I27" s="1"/>
    </row>
    <row r="28" spans="1:9" x14ac:dyDescent="0.25">
      <c r="A28" s="1"/>
      <c r="B28" s="79" t="s">
        <v>89</v>
      </c>
      <c r="C28" s="80"/>
      <c r="D28" s="80"/>
      <c r="E28" s="80"/>
      <c r="F28" s="81"/>
      <c r="G28" s="37">
        <v>613333</v>
      </c>
      <c r="H28" s="10" t="s">
        <v>4</v>
      </c>
      <c r="I28" s="1"/>
    </row>
    <row r="29" spans="1:9" x14ac:dyDescent="0.25">
      <c r="A29" s="1"/>
      <c r="B29" s="79" t="s">
        <v>90</v>
      </c>
      <c r="C29" s="80"/>
      <c r="D29" s="80"/>
      <c r="E29" s="80"/>
      <c r="F29" s="81"/>
      <c r="G29" s="20">
        <f>'Fane 7. Gen. inv. i 2015'!F58</f>
        <v>581637.9016666665</v>
      </c>
      <c r="H29" s="10" t="s">
        <v>4</v>
      </c>
      <c r="I29" s="1"/>
    </row>
    <row r="30" spans="1:9" x14ac:dyDescent="0.25">
      <c r="A30" s="1"/>
      <c r="B30" s="75" t="s">
        <v>87</v>
      </c>
      <c r="C30" s="76"/>
      <c r="D30" s="76"/>
      <c r="E30" s="76"/>
      <c r="F30" s="77"/>
      <c r="G30" s="33">
        <f>G29-G27+G29-G28</f>
        <v>342609.80333333299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Tobias Bedstrup Eiberg</cp:lastModifiedBy>
  <cp:lastPrinted>2016-06-14T12:57:30Z</cp:lastPrinted>
  <dcterms:created xsi:type="dcterms:W3CDTF">2016-06-02T08:51:18Z</dcterms:created>
  <dcterms:modified xsi:type="dcterms:W3CDTF">2016-12-14T15:29:12Z</dcterms:modified>
</cp:coreProperties>
</file>