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45" yWindow="75" windowWidth="20490" windowHeight="1164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F23" i="11" l="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4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G11" i="8" s="1"/>
  <c r="E11" i="2" s="1"/>
  <c r="F25" i="1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<sst xmlns="http://schemas.openxmlformats.org/spreadsheetml/2006/main" count="256" uniqueCount="131">
  <si>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</si>
  <si>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</si>
  <si>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</si>
  <si>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</si>
  <si>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</si>
  <si>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</si>
  <si>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</si>
  <si>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</si>
  <si>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</si>
  <si>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</si>
  <si>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</si>
  <si>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</si>
  <si>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</si>
  <si>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</si>
  <si>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</si>
  <si>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</si>
  <si>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</si>
  <si>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</si>
  <si>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</si>
  <si>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</si>
  <si>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</si>
  <si>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</si>
  <si>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</si>
  <si>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</si>
  <si>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</si>
  <si>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</si>
  <si>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</si>
  <si>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</si>
  <si>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</si>
  <si>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</si>
  <si>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</si>
  <si>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</si>
  <si>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</si>
  <si>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</si>
  <si>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</si>
  <si>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</si>
  <si>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</si>
  <si>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</si>
  <si>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</si>
  <si>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</si>
  <si>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</si>
  <si>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</si>
  <si>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</si>
  <si>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</si>
  <si>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</si>
  <si>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</si>
  <si>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</si>
  <si>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</si>
  <si>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</si>
  <si>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</si>
  <si>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</si>
  <si>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</si>
  <si>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</si>
  <si>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</si>
  <si>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</si>
  <si>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</si>
  <si>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</si>
  <si>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</si>
  <si>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</si>
  <si>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</si>
  <si>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</si>
  <si>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</si>
  <si>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</si>
  <si>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</si>
  <si>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</si>
  <si>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</si>
  <si>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</si>
  <si>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</si>
  <si>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</si>
  <si>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</si>
  <si>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</si>
  <si>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</si>
  <si>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</si>
  <si>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</si>
  <si>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</si>
  <si>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</si>
  <si>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</si>
  <si>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</si>
  <si>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</si>
  <si>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</si>
  <si>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</si>
  <si>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</si>
  <si>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</si>
  <si>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</si>
  <si>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</si>
  <si>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</si>
  <si>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</si>
  <si>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</si>
  <si>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</si>
  <si>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</si>
  <si>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</si>
  <si>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</si>
  <si>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</si>
  <si>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</si>
  <si>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</si>
  <si>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</si>
  <si>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</si>
  <si>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</si>
  <si>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</si>
  <si>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</si>
  <si>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</si>
  <si>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</si>
  <si>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</si>
  <si>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</si>
  <si>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</si>
  <si>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</si>
  <si>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</si>
  <si>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</si>
  <si>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</si>
  <si>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</si>
  <si>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</si>
  <si>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</si>
  <si>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</si>
  <si>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</si>
  <si>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Arbejdsplads</t>
  </si>
  <si>
    <t xml:space="preserve">Afregningsmålere, mekaniske </t>
  </si>
  <si>
    <t>SRO-anlæg, vandværk</t>
  </si>
  <si>
    <t>Instrumenter (flowmåler+tryk transducer+alarmer)</t>
  </si>
  <si>
    <t>Elanlæg</t>
  </si>
  <si>
    <t>Boring (inkl. etablering, forerør, filter og prøvepumpning)</t>
  </si>
  <si>
    <t>Råvandsstation komplet montering og boringshus/tørbrønd</t>
  </si>
  <si>
    <t>Pumpestation (inkl. evt. hydrofor)/trykforøger, Mek./EL</t>
  </si>
  <si>
    <t>Beholderanlæg - højdebeholder</t>
  </si>
  <si>
    <t>Filteranlæg, åbne filtre, dobbelt filtrering, Mek./EL</t>
  </si>
  <si>
    <t>Rentvandsbeholder  element</t>
  </si>
  <si>
    <t>Skyllevand-/slamhåndteringsanlæg - lukkede betonbeholdere</t>
  </si>
  <si>
    <t>Ventilation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</si>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</sst>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7" t="s">
        <v>11</v>
      </c>
      <c r="E6" s="47"/>
      <c r="F6" s="47"/>
      <c r="G6" s="47"/>
      <c r="H6" s="4"/>
      <c r="I6" s="1"/>
    </row>
    <row r="7" spans="1:9" ht="15" customHeight="1" x14ac:dyDescent="0.25">
      <c r="A7" s="1"/>
      <c r="B7" s="1"/>
      <c r="C7" s="4"/>
      <c r="D7" s="47"/>
      <c r="E7" s="47"/>
      <c r="F7" s="47"/>
      <c r="G7" s="47"/>
      <c r="H7" s="4"/>
      <c r="I7" s="1"/>
    </row>
    <row r="8" spans="1:9" ht="15.75" x14ac:dyDescent="0.25">
      <c r="A8" s="1"/>
      <c r="B8" s="1"/>
      <c r="C8" s="5"/>
      <c r="D8" s="55" t="s">
        <v>112</v>
      </c>
      <c r="E8" s="55"/>
      <c r="F8" s="55"/>
      <c r="G8" s="5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4" t="s">
        <v>12</v>
      </c>
      <c r="E11" s="54"/>
      <c r="F11" s="54"/>
      <c r="G11" s="5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23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68" t="s">
        <v>22</v>
      </c>
      <c r="E14" s="69"/>
      <c r="F14" s="69"/>
      <c r="G14" s="70"/>
      <c r="H14" s="1"/>
      <c r="I14" s="1"/>
    </row>
    <row r="15" spans="1:9" x14ac:dyDescent="0.25">
      <c r="A15" s="1"/>
      <c r="B15" s="1"/>
      <c r="C15" s="3" t="s">
        <v>15</v>
      </c>
      <c r="D15" s="56" t="s">
        <v>24</v>
      </c>
      <c r="E15" s="57"/>
      <c r="F15" s="57"/>
      <c r="G15" s="58"/>
      <c r="H15" s="1"/>
      <c r="I15" s="1"/>
    </row>
    <row r="16" spans="1:9" x14ac:dyDescent="0.25">
      <c r="A16" s="1"/>
      <c r="B16" s="1"/>
      <c r="C16" s="3" t="s">
        <v>16</v>
      </c>
      <c r="D16" s="59" t="s">
        <v>25</v>
      </c>
      <c r="E16" s="60"/>
      <c r="F16" s="60"/>
      <c r="G16" s="61"/>
      <c r="H16" s="1"/>
      <c r="I16" s="1"/>
    </row>
    <row r="17" spans="1:9" x14ac:dyDescent="0.25">
      <c r="A17" s="1"/>
      <c r="B17" s="1"/>
      <c r="C17" s="3" t="s">
        <v>17</v>
      </c>
      <c r="D17" s="59" t="s">
        <v>26</v>
      </c>
      <c r="E17" s="60"/>
      <c r="F17" s="60"/>
      <c r="G17" s="61"/>
      <c r="H17" s="1"/>
      <c r="I17" s="1"/>
    </row>
    <row r="18" spans="1:9" x14ac:dyDescent="0.25">
      <c r="A18" s="1"/>
      <c r="B18" s="1"/>
      <c r="C18" s="3" t="s">
        <v>18</v>
      </c>
      <c r="D18" s="62" t="s">
        <v>32</v>
      </c>
      <c r="E18" s="63"/>
      <c r="F18" s="63"/>
      <c r="G18" s="64"/>
      <c r="H18" s="1"/>
      <c r="I18" s="1"/>
    </row>
    <row r="19" spans="1:9" x14ac:dyDescent="0.25">
      <c r="A19" s="1"/>
      <c r="B19" s="1"/>
      <c r="C19" s="3" t="s">
        <v>19</v>
      </c>
      <c r="D19" s="48" t="s">
        <v>5</v>
      </c>
      <c r="E19" s="49"/>
      <c r="F19" s="49"/>
      <c r="G19" s="50"/>
      <c r="H19" s="1"/>
      <c r="I19" s="1"/>
    </row>
    <row r="20" spans="1:9" x14ac:dyDescent="0.25">
      <c r="A20" s="1"/>
      <c r="B20" s="1"/>
      <c r="C20" s="3" t="s">
        <v>20</v>
      </c>
      <c r="D20" s="48" t="s">
        <v>28</v>
      </c>
      <c r="E20" s="49"/>
      <c r="F20" s="49"/>
      <c r="G20" s="50"/>
      <c r="H20" s="1"/>
      <c r="I20" s="1"/>
    </row>
    <row r="21" spans="1:9" x14ac:dyDescent="0.25">
      <c r="A21" s="1"/>
      <c r="B21" s="1"/>
      <c r="C21" s="3" t="s">
        <v>21</v>
      </c>
      <c r="D21" s="51" t="s">
        <v>29</v>
      </c>
      <c r="E21" s="52"/>
      <c r="F21" s="52"/>
      <c r="G21" s="5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1.140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0" t="s">
        <v>6</v>
      </c>
      <c r="C3" s="100"/>
      <c r="D3" s="100"/>
      <c r="E3" s="100"/>
      <c r="F3" s="100"/>
      <c r="G3" s="100"/>
      <c r="H3" s="100"/>
      <c r="I3" s="1"/>
    </row>
    <row r="4" spans="1:9" ht="15" customHeight="1" x14ac:dyDescent="0.25">
      <c r="A4" s="1"/>
      <c r="B4" s="100"/>
      <c r="C4" s="100"/>
      <c r="D4" s="100"/>
      <c r="E4" s="100"/>
      <c r="F4" s="100"/>
      <c r="G4" s="100"/>
      <c r="H4" s="10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5" t="s">
        <v>47</v>
      </c>
      <c r="C9" s="86"/>
      <c r="D9" s="86"/>
      <c r="E9" s="86"/>
      <c r="F9" s="87"/>
      <c r="G9" s="35">
        <v>278317224.38046873</v>
      </c>
      <c r="H9" s="16" t="s">
        <v>4</v>
      </c>
      <c r="I9" s="1"/>
    </row>
    <row r="10" spans="1:9" x14ac:dyDescent="0.25">
      <c r="A10" s="1"/>
      <c r="B10" s="71" t="s">
        <v>48</v>
      </c>
      <c r="C10" s="72"/>
      <c r="D10" s="72"/>
      <c r="E10" s="72"/>
      <c r="F10" s="72"/>
      <c r="G10" s="72"/>
      <c r="H10" s="73"/>
      <c r="I10" s="1"/>
    </row>
    <row r="11" spans="1:9" x14ac:dyDescent="0.25">
      <c r="A11" s="1"/>
      <c r="B11" s="81" t="s">
        <v>49</v>
      </c>
      <c r="C11" s="82"/>
      <c r="D11" s="83"/>
      <c r="E11" s="40">
        <v>42084451.847598359</v>
      </c>
      <c r="F11" s="10" t="s">
        <v>4</v>
      </c>
      <c r="G11" s="19"/>
      <c r="H11" s="25"/>
      <c r="I11" s="1"/>
    </row>
    <row r="12" spans="1:9" x14ac:dyDescent="0.25">
      <c r="A12" s="1"/>
      <c r="B12" s="81" t="s">
        <v>50</v>
      </c>
      <c r="C12" s="82"/>
      <c r="D12" s="83"/>
      <c r="E12" s="37">
        <v>11131982</v>
      </c>
      <c r="F12" s="10" t="s">
        <v>4</v>
      </c>
      <c r="G12" s="13"/>
      <c r="H12" s="26"/>
      <c r="I12" s="1"/>
    </row>
    <row r="13" spans="1:9" x14ac:dyDescent="0.25">
      <c r="A13" s="1"/>
      <c r="B13" s="81" t="s">
        <v>51</v>
      </c>
      <c r="C13" s="82"/>
      <c r="D13" s="83"/>
      <c r="E13" s="41">
        <v>1967935.8866666686</v>
      </c>
      <c r="F13" s="10" t="s">
        <v>4</v>
      </c>
      <c r="G13" s="13"/>
      <c r="H13" s="26"/>
      <c r="I13" s="1"/>
    </row>
    <row r="14" spans="1:9" x14ac:dyDescent="0.25">
      <c r="A14" s="1"/>
      <c r="B14" s="81" t="s">
        <v>52</v>
      </c>
      <c r="C14" s="82"/>
      <c r="D14" s="83"/>
      <c r="E14" s="37">
        <v>7695600</v>
      </c>
      <c r="F14" s="10" t="s">
        <v>4</v>
      </c>
      <c r="G14" s="13"/>
      <c r="H14" s="26"/>
      <c r="I14" s="1"/>
    </row>
    <row r="15" spans="1:9" x14ac:dyDescent="0.25">
      <c r="A15" s="1"/>
      <c r="B15" s="85" t="s">
        <v>53</v>
      </c>
      <c r="C15" s="86"/>
      <c r="D15" s="87"/>
      <c r="E15" s="32">
        <f>SUM(E11:E14)</f>
        <v>62879969.734265029</v>
      </c>
      <c r="F15" s="16" t="s">
        <v>4</v>
      </c>
      <c r="G15" s="13"/>
      <c r="H15" s="26"/>
      <c r="I15" s="1"/>
    </row>
    <row r="16" spans="1:9" x14ac:dyDescent="0.25">
      <c r="A16" s="1"/>
      <c r="B16" s="81" t="s">
        <v>54</v>
      </c>
      <c r="C16" s="82"/>
      <c r="D16" s="83"/>
      <c r="E16" s="37">
        <v>16217754</v>
      </c>
      <c r="F16" s="10" t="s">
        <v>4</v>
      </c>
      <c r="G16" s="13"/>
      <c r="H16" s="26"/>
      <c r="I16" s="1"/>
    </row>
    <row r="17" spans="1:9" x14ac:dyDescent="0.25">
      <c r="A17" s="1"/>
      <c r="B17" s="81" t="s">
        <v>55</v>
      </c>
      <c r="C17" s="82"/>
      <c r="D17" s="83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81" t="s">
        <v>56</v>
      </c>
      <c r="C18" s="82"/>
      <c r="D18" s="83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5" t="s">
        <v>57</v>
      </c>
      <c r="C19" s="86"/>
      <c r="D19" s="87"/>
      <c r="E19" s="32">
        <f>SUM(E16:E18)</f>
        <v>16217754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4" t="s">
        <v>58</v>
      </c>
      <c r="C20" s="75"/>
      <c r="D20" s="76"/>
      <c r="E20" s="37">
        <v>-1689121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4" t="s">
        <v>59</v>
      </c>
      <c r="C21" s="75"/>
      <c r="D21" s="76"/>
      <c r="E21" s="37">
        <v>-74715148</v>
      </c>
      <c r="F21" s="10" t="s">
        <v>4</v>
      </c>
      <c r="G21" s="13"/>
      <c r="H21" s="26"/>
      <c r="I21" s="1"/>
    </row>
    <row r="22" spans="1:9" x14ac:dyDescent="0.25">
      <c r="A22" s="1"/>
      <c r="B22" s="81" t="s">
        <v>60</v>
      </c>
      <c r="C22" s="82"/>
      <c r="D22" s="83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81" t="s">
        <v>61</v>
      </c>
      <c r="C23" s="82"/>
      <c r="D23" s="83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4" t="s">
        <v>62</v>
      </c>
      <c r="C24" s="75"/>
      <c r="D24" s="76"/>
      <c r="E24" s="37">
        <v>-1668192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4" t="s">
        <v>63</v>
      </c>
      <c r="C25" s="75"/>
      <c r="D25" s="76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4" t="s">
        <v>64</v>
      </c>
      <c r="C26" s="75"/>
      <c r="D26" s="76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5" t="s">
        <v>65</v>
      </c>
      <c r="C27" s="86"/>
      <c r="D27" s="87"/>
      <c r="E27" s="32">
        <f>SUM(E20:E26)</f>
        <v>-78072461</v>
      </c>
      <c r="F27" s="16" t="s">
        <v>4</v>
      </c>
      <c r="G27" s="14"/>
      <c r="H27" s="27"/>
      <c r="I27" s="1"/>
    </row>
    <row r="28" spans="1:9" x14ac:dyDescent="0.25">
      <c r="A28" s="1"/>
      <c r="B28" s="85" t="s">
        <v>66</v>
      </c>
      <c r="C28" s="86"/>
      <c r="D28" s="87"/>
      <c r="E28" s="32">
        <f>E15+E19+E27</f>
        <v>1025262.7342650294</v>
      </c>
      <c r="F28" s="16" t="s">
        <v>4</v>
      </c>
      <c r="G28" s="31">
        <f>IF(E28&lt;0,0,-E28)</f>
        <v>-1025262.7342650294</v>
      </c>
      <c r="H28" s="16" t="s">
        <v>4</v>
      </c>
      <c r="I28" s="1"/>
    </row>
    <row r="29" spans="1:9" x14ac:dyDescent="0.25">
      <c r="A29" s="1"/>
      <c r="B29" s="71" t="s">
        <v>67</v>
      </c>
      <c r="C29" s="72"/>
      <c r="D29" s="72"/>
      <c r="E29" s="72"/>
      <c r="F29" s="72"/>
      <c r="G29" s="72"/>
      <c r="H29" s="73"/>
      <c r="I29" s="1"/>
    </row>
    <row r="30" spans="1:9" x14ac:dyDescent="0.25">
      <c r="A30" s="1"/>
      <c r="B30" s="85" t="s">
        <v>67</v>
      </c>
      <c r="C30" s="86"/>
      <c r="D30" s="87"/>
      <c r="E30" s="35">
        <v>207701</v>
      </c>
      <c r="F30" s="16" t="s">
        <v>4</v>
      </c>
      <c r="G30" s="32">
        <f>-$E$30</f>
        <v>-207701</v>
      </c>
      <c r="H30" s="16" t="s">
        <v>4</v>
      </c>
      <c r="I30" s="1"/>
    </row>
    <row r="31" spans="1:9" x14ac:dyDescent="0.25">
      <c r="A31" s="1"/>
      <c r="B31" s="101" t="s">
        <v>128</v>
      </c>
      <c r="C31" s="72"/>
      <c r="D31" s="72"/>
      <c r="E31" s="72"/>
      <c r="F31" s="72"/>
      <c r="G31" s="72"/>
      <c r="H31" s="73"/>
      <c r="I31" s="1"/>
    </row>
    <row r="32" spans="1:9" ht="30" customHeight="1" x14ac:dyDescent="0.25">
      <c r="A32" s="1"/>
      <c r="B32" s="74" t="s">
        <v>129</v>
      </c>
      <c r="C32" s="75"/>
      <c r="D32" s="76"/>
      <c r="E32" s="37">
        <v>275832565</v>
      </c>
      <c r="F32" s="10" t="s">
        <v>4</v>
      </c>
      <c r="G32" s="19"/>
      <c r="H32" s="25"/>
      <c r="I32" s="1"/>
    </row>
    <row r="33" spans="1:9" x14ac:dyDescent="0.25">
      <c r="A33" s="1"/>
      <c r="B33" s="81" t="s">
        <v>68</v>
      </c>
      <c r="C33" s="82"/>
      <c r="D33" s="83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4" t="s">
        <v>69</v>
      </c>
      <c r="C34" s="75"/>
      <c r="D34" s="76"/>
      <c r="E34" s="37">
        <v>1251696</v>
      </c>
      <c r="F34" s="10" t="s">
        <v>4</v>
      </c>
      <c r="G34" s="14"/>
      <c r="H34" s="27"/>
      <c r="I34" s="1"/>
    </row>
    <row r="35" spans="1:9" x14ac:dyDescent="0.25">
      <c r="A35" s="1"/>
      <c r="B35" s="85" t="s">
        <v>70</v>
      </c>
      <c r="C35" s="86"/>
      <c r="D35" s="87"/>
      <c r="E35" s="32">
        <f>SUM(E32:E34)</f>
        <v>277084261</v>
      </c>
      <c r="F35" s="16" t="s">
        <v>4</v>
      </c>
      <c r="G35" s="32">
        <f>-E35</f>
        <v>-277084261</v>
      </c>
      <c r="H35" s="16" t="s">
        <v>4</v>
      </c>
      <c r="I35" s="1"/>
    </row>
    <row r="36" spans="1:9" x14ac:dyDescent="0.25">
      <c r="A36" s="1"/>
      <c r="B36" s="71" t="s">
        <v>46</v>
      </c>
      <c r="C36" s="72"/>
      <c r="D36" s="72"/>
      <c r="E36" s="72"/>
      <c r="F36" s="73"/>
      <c r="G36" s="33">
        <f>$G$9+$G$28+$G$30+$G$35</f>
        <v>-0.35379630327224731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855468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130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109</v>
      </c>
      <c r="C8" s="72"/>
      <c r="D8" s="72"/>
      <c r="E8" s="72"/>
      <c r="F8" s="72"/>
      <c r="G8" s="72"/>
      <c r="H8" s="73"/>
      <c r="I8" s="1"/>
    </row>
    <row r="9" spans="1:9" ht="30" customHeight="1" x14ac:dyDescent="0.25">
      <c r="A9" s="1"/>
      <c r="B9" s="74" t="s">
        <v>31</v>
      </c>
      <c r="C9" s="75"/>
      <c r="D9" s="76"/>
      <c r="E9" s="34">
        <f>'Fane 3. Grundlag'!G12</f>
        <v>257018749.49788269</v>
      </c>
      <c r="F9" s="7" t="s">
        <v>4</v>
      </c>
      <c r="G9" s="8"/>
      <c r="H9" s="9"/>
      <c r="I9" s="1"/>
    </row>
    <row r="10" spans="1:9" x14ac:dyDescent="0.25">
      <c r="A10" s="1"/>
      <c r="B10" s="84" t="s">
        <v>97</v>
      </c>
      <c r="C10" s="82"/>
      <c r="D10" s="83"/>
      <c r="E10" s="20">
        <f>'Fane 3. Grundlag'!G11</f>
        <v>104368695.67759517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25</v>
      </c>
      <c r="C11" s="82"/>
      <c r="D11" s="83"/>
      <c r="E11" s="20">
        <f>'Fane 4. Individuelt eff.krav'!G11</f>
        <v>1310014.1232729887</v>
      </c>
      <c r="F11" s="7" t="s">
        <v>4</v>
      </c>
      <c r="G11" s="13"/>
      <c r="H11" s="12"/>
      <c r="I11" s="1"/>
    </row>
    <row r="12" spans="1:9" x14ac:dyDescent="0.25">
      <c r="A12" s="1"/>
      <c r="B12" s="81" t="s">
        <v>26</v>
      </c>
      <c r="C12" s="82"/>
      <c r="D12" s="83"/>
      <c r="E12" s="20">
        <f>'Fane 5. Generelt eff.krav'!G15</f>
        <v>2320710.7429292556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2">
        <f>$E$9-$E$11-$E$12</f>
        <v>253388024.63168046</v>
      </c>
      <c r="F13" s="17" t="s">
        <v>4</v>
      </c>
      <c r="G13" s="32">
        <f>E13</f>
        <v>253388024.63168046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x14ac:dyDescent="0.25">
      <c r="A15" s="1"/>
      <c r="B15" s="77" t="s">
        <v>108</v>
      </c>
      <c r="C15" s="78"/>
      <c r="D15" s="79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1" t="s">
        <v>28</v>
      </c>
      <c r="C16" s="72"/>
      <c r="D16" s="72"/>
      <c r="E16" s="72"/>
      <c r="F16" s="72"/>
      <c r="G16" s="72"/>
      <c r="H16" s="73"/>
      <c r="I16" s="1"/>
    </row>
    <row r="17" spans="1:9" x14ac:dyDescent="0.25">
      <c r="A17" s="1"/>
      <c r="B17" s="74" t="s">
        <v>35</v>
      </c>
      <c r="C17" s="75"/>
      <c r="D17" s="76"/>
      <c r="E17" s="20">
        <f>'Fane 8. Korrektion af PL2015'!G11</f>
        <v>269964</v>
      </c>
      <c r="F17" s="7" t="s">
        <v>4</v>
      </c>
      <c r="G17" s="19"/>
      <c r="H17" s="9"/>
      <c r="I17" s="1"/>
    </row>
    <row r="18" spans="1:9" x14ac:dyDescent="0.25">
      <c r="A18" s="1"/>
      <c r="B18" s="74" t="s">
        <v>36</v>
      </c>
      <c r="C18" s="75"/>
      <c r="D18" s="76"/>
      <c r="E18" s="20">
        <f>'Fane 8. Korrektion af PL2015'!G17</f>
        <v>1804041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4" t="s">
        <v>98</v>
      </c>
      <c r="C19" s="75"/>
      <c r="D19" s="76"/>
      <c r="E19" s="20">
        <f>'Fane 8. Korrektion af PL2015'!G23</f>
        <v>-5412823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4" t="s">
        <v>37</v>
      </c>
      <c r="C20" s="75"/>
      <c r="D20" s="76"/>
      <c r="E20" s="20">
        <f>'Fane 8. Korrektion af PL2015'!G30</f>
        <v>2724167.8733333331</v>
      </c>
      <c r="F20" s="7" t="s">
        <v>4</v>
      </c>
      <c r="G20" s="14"/>
      <c r="H20" s="15"/>
      <c r="I20" s="1"/>
    </row>
    <row r="21" spans="1:9" x14ac:dyDescent="0.25">
      <c r="A21" s="1"/>
      <c r="B21" s="77" t="s">
        <v>38</v>
      </c>
      <c r="C21" s="78"/>
      <c r="D21" s="79"/>
      <c r="E21" s="32">
        <f>SUM(E17:E20)</f>
        <v>-614650.12666666694</v>
      </c>
      <c r="F21" s="17" t="s">
        <v>4</v>
      </c>
      <c r="G21" s="32">
        <f>E21</f>
        <v>-614650.12666666694</v>
      </c>
      <c r="H21" s="17" t="s">
        <v>4</v>
      </c>
      <c r="I21" s="1"/>
    </row>
    <row r="22" spans="1:9" x14ac:dyDescent="0.25">
      <c r="A22" s="1"/>
      <c r="B22" s="71" t="s">
        <v>33</v>
      </c>
      <c r="C22" s="72"/>
      <c r="D22" s="72"/>
      <c r="E22" s="72"/>
      <c r="F22" s="72"/>
      <c r="G22" s="72"/>
      <c r="H22" s="73"/>
      <c r="I22" s="1"/>
    </row>
    <row r="23" spans="1:9" x14ac:dyDescent="0.25">
      <c r="A23" s="1"/>
      <c r="B23" s="77" t="s">
        <v>34</v>
      </c>
      <c r="C23" s="78"/>
      <c r="D23" s="79"/>
      <c r="E23" s="32">
        <f>'Fane 9. Kontrol af PL2015'!G36</f>
        <v>-0.35379630327224731</v>
      </c>
      <c r="F23" s="17" t="s">
        <v>4</v>
      </c>
      <c r="G23" s="32">
        <f>E23</f>
        <v>-0.35379630327224731</v>
      </c>
      <c r="H23" s="17" t="s">
        <v>4</v>
      </c>
      <c r="I23" s="1"/>
    </row>
    <row r="24" spans="1:9" x14ac:dyDescent="0.25">
      <c r="A24" s="1"/>
      <c r="B24" s="71" t="s">
        <v>39</v>
      </c>
      <c r="C24" s="72"/>
      <c r="D24" s="72"/>
      <c r="E24" s="72"/>
      <c r="F24" s="73"/>
      <c r="G24" s="33">
        <f>G13+G15+G21+G23</f>
        <v>252773374.15121749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10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109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4" t="s">
        <v>40</v>
      </c>
      <c r="C9" s="75"/>
      <c r="D9" s="76"/>
      <c r="E9" s="36">
        <f>'Fane 2.1. Økonomisk ramme 2017'!$E$9-'Fane 2.1. Økonomisk ramme 2017'!$E$11-'Fane 2.1. Økonomisk ramme 2017'!$E$12</f>
        <v>253388024.63168046</v>
      </c>
      <c r="F9" s="7" t="s">
        <v>4</v>
      </c>
      <c r="G9" s="8"/>
      <c r="H9" s="9"/>
      <c r="I9" s="1"/>
    </row>
    <row r="10" spans="1:9" x14ac:dyDescent="0.25">
      <c r="A10" s="1"/>
      <c r="B10" s="84" t="s">
        <v>110</v>
      </c>
      <c r="C10" s="88"/>
      <c r="D10" s="89"/>
      <c r="E10" s="37">
        <f>'Fane 3. Grundlag'!$G$9*(1-'Fane 4. Individuelt eff.krav'!$G$10/100)-'Fane 5. Generelt eff.krav'!G$11</f>
        <v>83024639.671090201</v>
      </c>
      <c r="F10" s="7" t="s">
        <v>4</v>
      </c>
      <c r="G10" s="11"/>
      <c r="H10" s="12"/>
      <c r="I10" s="1"/>
    </row>
    <row r="11" spans="1:9" x14ac:dyDescent="0.25">
      <c r="A11" s="1"/>
      <c r="B11" s="84" t="s">
        <v>111</v>
      </c>
      <c r="C11" s="88"/>
      <c r="D11" s="89"/>
      <c r="E11" s="37">
        <f>'Fane 3. Grundlag'!$G$10*(1-'Fane 4. Individuelt eff.krav'!$G$10/100)-'Fane 5. Generelt eff.krav'!G$14</f>
        <v>65994689.282995082</v>
      </c>
      <c r="F11" s="7" t="s">
        <v>4</v>
      </c>
      <c r="G11" s="11"/>
      <c r="H11" s="12"/>
      <c r="I11" s="1"/>
    </row>
    <row r="12" spans="1:9" x14ac:dyDescent="0.25">
      <c r="A12" s="1"/>
      <c r="B12" s="84" t="s">
        <v>97</v>
      </c>
      <c r="C12" s="88"/>
      <c r="D12" s="89"/>
      <c r="E12" s="37">
        <f>'Fane 2.1. Økonomisk ramme 2017'!$E$10</f>
        <v>104368695.67759517</v>
      </c>
      <c r="F12" s="7" t="s">
        <v>4</v>
      </c>
      <c r="G12" s="11"/>
      <c r="H12" s="12"/>
      <c r="I12" s="1"/>
    </row>
    <row r="13" spans="1:9" x14ac:dyDescent="0.25">
      <c r="A13" s="1"/>
      <c r="B13" s="81" t="s">
        <v>41</v>
      </c>
      <c r="C13" s="82"/>
      <c r="D13" s="83"/>
      <c r="E13" s="37">
        <f>$E$9*0.0127</f>
        <v>3218027.9128223415</v>
      </c>
      <c r="F13" s="7" t="s">
        <v>4</v>
      </c>
      <c r="G13" s="13"/>
      <c r="H13" s="12"/>
      <c r="I13" s="1"/>
    </row>
    <row r="14" spans="1:9" x14ac:dyDescent="0.25">
      <c r="A14" s="1"/>
      <c r="B14" s="81" t="s">
        <v>25</v>
      </c>
      <c r="C14" s="82"/>
      <c r="D14" s="83"/>
      <c r="E14" s="37">
        <f>('Fane 2.2. Økonomisk ramme 2018'!$E$9-'Fane 2.2. Økonomisk ramme 2018'!$E$12)*1.0127*'Fane 4. Individuelt eff.krav'!$G$10/100</f>
        <v>1295097.393860115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2309928.566805644</v>
      </c>
      <c r="F15" s="7" t="s">
        <v>4</v>
      </c>
      <c r="G15" s="14"/>
      <c r="H15" s="15"/>
      <c r="I15" s="1"/>
    </row>
    <row r="16" spans="1:9" x14ac:dyDescent="0.25">
      <c r="A16" s="1"/>
      <c r="B16" s="85" t="s">
        <v>43</v>
      </c>
      <c r="C16" s="86"/>
      <c r="D16" s="87"/>
      <c r="E16" s="32">
        <f>$E$9+$E$13-$E$14-$E$15</f>
        <v>253001026.58383706</v>
      </c>
      <c r="F16" s="17" t="s">
        <v>4</v>
      </c>
      <c r="G16" s="32">
        <f>E16</f>
        <v>253001026.58383706</v>
      </c>
      <c r="H16" s="17" t="s">
        <v>4</v>
      </c>
      <c r="I16" s="1"/>
    </row>
    <row r="17" spans="1:9" x14ac:dyDescent="0.25">
      <c r="A17" s="1"/>
      <c r="B17" s="71" t="s">
        <v>32</v>
      </c>
      <c r="C17" s="72"/>
      <c r="D17" s="72"/>
      <c r="E17" s="72"/>
      <c r="F17" s="72"/>
      <c r="G17" s="72"/>
      <c r="H17" s="73"/>
      <c r="I17" s="1"/>
    </row>
    <row r="18" spans="1:9" ht="15" customHeight="1" x14ac:dyDescent="0.25">
      <c r="A18" s="1"/>
      <c r="B18" s="77" t="s">
        <v>108</v>
      </c>
      <c r="C18" s="78"/>
      <c r="D18" s="79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1" t="s">
        <v>42</v>
      </c>
      <c r="C19" s="72"/>
      <c r="D19" s="72"/>
      <c r="E19" s="72"/>
      <c r="F19" s="73"/>
      <c r="G19" s="33">
        <f>G16+G18</f>
        <v>253001026.58383706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8554687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9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44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99</v>
      </c>
      <c r="C9" s="82"/>
      <c r="D9" s="82"/>
      <c r="E9" s="82"/>
      <c r="F9" s="83"/>
      <c r="G9" s="37">
        <v>85467454.418774232</v>
      </c>
      <c r="H9" s="10" t="s">
        <v>4</v>
      </c>
      <c r="I9" s="1"/>
    </row>
    <row r="10" spans="1:9" x14ac:dyDescent="0.25">
      <c r="A10" s="1"/>
      <c r="B10" s="81" t="s">
        <v>100</v>
      </c>
      <c r="C10" s="82"/>
      <c r="D10" s="82"/>
      <c r="E10" s="82"/>
      <c r="F10" s="83"/>
      <c r="G10" s="37">
        <v>67182599.401513278</v>
      </c>
      <c r="H10" s="10" t="s">
        <v>4</v>
      </c>
      <c r="I10" s="1"/>
    </row>
    <row r="11" spans="1:9" x14ac:dyDescent="0.25">
      <c r="A11" s="1"/>
      <c r="B11" s="81" t="s">
        <v>101</v>
      </c>
      <c r="C11" s="82"/>
      <c r="D11" s="82"/>
      <c r="E11" s="82"/>
      <c r="F11" s="83"/>
      <c r="G11" s="37">
        <v>104368695.67759517</v>
      </c>
      <c r="H11" s="10" t="s">
        <v>4</v>
      </c>
      <c r="I11" s="1"/>
    </row>
    <row r="12" spans="1:9" x14ac:dyDescent="0.25">
      <c r="A12" s="1"/>
      <c r="B12" s="71" t="s">
        <v>44</v>
      </c>
      <c r="C12" s="72"/>
      <c r="D12" s="72"/>
      <c r="E12" s="72"/>
      <c r="F12" s="73"/>
      <c r="G12" s="33">
        <f>SUM(G9:G11)</f>
        <v>257018749.49788269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27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25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103</v>
      </c>
      <c r="C9" s="82"/>
      <c r="D9" s="82"/>
      <c r="E9" s="82"/>
      <c r="F9" s="83"/>
      <c r="G9" s="20">
        <f>'Fane 3. Grundlag'!G12-'Fane 3. Grundlag'!G11</f>
        <v>152650053.82028753</v>
      </c>
      <c r="H9" s="10" t="s">
        <v>4</v>
      </c>
      <c r="I9" s="1"/>
    </row>
    <row r="10" spans="1:9" x14ac:dyDescent="0.25">
      <c r="A10" s="1"/>
      <c r="B10" s="81" t="s">
        <v>71</v>
      </c>
      <c r="C10" s="82"/>
      <c r="D10" s="82"/>
      <c r="E10" s="82"/>
      <c r="F10" s="83"/>
      <c r="G10" s="46">
        <v>0.85818123904184629</v>
      </c>
      <c r="H10" s="10" t="s">
        <v>72</v>
      </c>
      <c r="I10" s="1"/>
    </row>
    <row r="11" spans="1:9" x14ac:dyDescent="0.25">
      <c r="A11" s="1"/>
      <c r="B11" s="71" t="s">
        <v>25</v>
      </c>
      <c r="C11" s="72"/>
      <c r="D11" s="72"/>
      <c r="E11" s="72"/>
      <c r="F11" s="73"/>
      <c r="G11" s="33">
        <f>$G$9*$G$10/100</f>
        <v>1310014.1232729887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8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90" t="s">
        <v>99</v>
      </c>
      <c r="C9" s="91"/>
      <c r="D9" s="91"/>
      <c r="E9" s="91"/>
      <c r="F9" s="92"/>
      <c r="G9" s="20">
        <f>'Fane 3. Grundlag'!G9</f>
        <v>85467454.418774232</v>
      </c>
      <c r="H9" s="10" t="s">
        <v>4</v>
      </c>
      <c r="I9" s="1"/>
    </row>
    <row r="10" spans="1:9" x14ac:dyDescent="0.25">
      <c r="A10" s="1"/>
      <c r="B10" s="81" t="s">
        <v>26</v>
      </c>
      <c r="C10" s="82"/>
      <c r="D10" s="82"/>
      <c r="E10" s="82"/>
      <c r="F10" s="83"/>
      <c r="G10" s="44">
        <f>2</f>
        <v>2</v>
      </c>
      <c r="H10" s="10" t="s">
        <v>72</v>
      </c>
      <c r="I10" s="1"/>
    </row>
    <row r="11" spans="1:9" x14ac:dyDescent="0.25">
      <c r="A11" s="1"/>
      <c r="B11" s="85" t="s">
        <v>73</v>
      </c>
      <c r="C11" s="86"/>
      <c r="D11" s="86"/>
      <c r="E11" s="86"/>
      <c r="F11" s="87"/>
      <c r="G11" s="32">
        <f>$G$9*$G$10/100</f>
        <v>1709349.0883754846</v>
      </c>
      <c r="H11" s="16" t="s">
        <v>4</v>
      </c>
      <c r="I11" s="1"/>
    </row>
    <row r="12" spans="1:9" x14ac:dyDescent="0.25">
      <c r="A12" s="1"/>
      <c r="B12" s="81" t="s">
        <v>100</v>
      </c>
      <c r="C12" s="82"/>
      <c r="D12" s="82"/>
      <c r="E12" s="82"/>
      <c r="F12" s="83"/>
      <c r="G12" s="20">
        <f>'Fane 3. Grundlag'!G10</f>
        <v>67182599.401513278</v>
      </c>
      <c r="H12" s="10" t="s">
        <v>4</v>
      </c>
      <c r="I12" s="1"/>
    </row>
    <row r="13" spans="1:9" x14ac:dyDescent="0.25">
      <c r="A13" s="1"/>
      <c r="B13" s="81" t="s">
        <v>26</v>
      </c>
      <c r="C13" s="82"/>
      <c r="D13" s="82"/>
      <c r="E13" s="82"/>
      <c r="F13" s="83"/>
      <c r="G13" s="45">
        <f>0.91</f>
        <v>0.91</v>
      </c>
      <c r="H13" s="10" t="s">
        <v>72</v>
      </c>
      <c r="I13" s="1"/>
    </row>
    <row r="14" spans="1:9" x14ac:dyDescent="0.25">
      <c r="A14" s="1"/>
      <c r="B14" s="85" t="s">
        <v>74</v>
      </c>
      <c r="C14" s="86"/>
      <c r="D14" s="86"/>
      <c r="E14" s="86"/>
      <c r="F14" s="87"/>
      <c r="G14" s="32">
        <f>$G$12*$G$13/100</f>
        <v>611361.6545537709</v>
      </c>
      <c r="H14" s="16" t="s">
        <v>4</v>
      </c>
      <c r="I14" s="1"/>
    </row>
    <row r="15" spans="1:9" x14ac:dyDescent="0.25">
      <c r="A15" s="1"/>
      <c r="B15" s="71" t="s">
        <v>104</v>
      </c>
      <c r="C15" s="72"/>
      <c r="D15" s="72"/>
      <c r="E15" s="72"/>
      <c r="F15" s="73"/>
      <c r="G15" s="33">
        <f>G11+G14</f>
        <v>2320710.7429292556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106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76</v>
      </c>
      <c r="C9" s="82"/>
      <c r="D9" s="82"/>
      <c r="E9" s="82"/>
      <c r="F9" s="83"/>
      <c r="G9" s="37">
        <v>34584000</v>
      </c>
      <c r="H9" s="10" t="s">
        <v>4</v>
      </c>
      <c r="I9" s="1"/>
    </row>
    <row r="10" spans="1:9" x14ac:dyDescent="0.25">
      <c r="A10" s="1"/>
      <c r="B10" s="81" t="s">
        <v>77</v>
      </c>
      <c r="C10" s="82"/>
      <c r="D10" s="82"/>
      <c r="E10" s="82"/>
      <c r="F10" s="83"/>
      <c r="G10" s="37">
        <v>34584000</v>
      </c>
      <c r="H10" s="10" t="s">
        <v>4</v>
      </c>
      <c r="I10" s="1"/>
    </row>
    <row r="11" spans="1:9" x14ac:dyDescent="0.25">
      <c r="A11" s="1"/>
      <c r="B11" s="93" t="s">
        <v>91</v>
      </c>
      <c r="C11" s="94"/>
      <c r="D11" s="94"/>
      <c r="E11" s="94"/>
      <c r="F11" s="95"/>
      <c r="G11" s="38">
        <v>0</v>
      </c>
      <c r="H11" s="23" t="s">
        <v>4</v>
      </c>
      <c r="I11" s="1"/>
    </row>
    <row r="12" spans="1:9" x14ac:dyDescent="0.25">
      <c r="A12" s="1"/>
      <c r="B12" s="81" t="s">
        <v>78</v>
      </c>
      <c r="C12" s="82"/>
      <c r="D12" s="82"/>
      <c r="E12" s="82"/>
      <c r="F12" s="83"/>
      <c r="G12" s="37">
        <v>0</v>
      </c>
      <c r="H12" s="10" t="s">
        <v>4</v>
      </c>
      <c r="I12" s="1"/>
    </row>
    <row r="13" spans="1:9" x14ac:dyDescent="0.25">
      <c r="A13" s="1"/>
      <c r="B13" s="71" t="s">
        <v>75</v>
      </c>
      <c r="C13" s="72"/>
      <c r="D13" s="72"/>
      <c r="E13" s="72"/>
      <c r="F13" s="73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0" t="s">
        <v>30</v>
      </c>
      <c r="C3" s="80"/>
      <c r="D3" s="80"/>
      <c r="E3" s="80"/>
      <c r="F3" s="80"/>
      <c r="G3" s="80"/>
      <c r="H3" s="1"/>
    </row>
    <row r="4" spans="1:8" ht="15" customHeight="1" x14ac:dyDescent="0.25">
      <c r="A4" s="1"/>
      <c r="B4" s="80"/>
      <c r="C4" s="80"/>
      <c r="D4" s="80"/>
      <c r="E4" s="80"/>
      <c r="F4" s="80"/>
      <c r="G4" s="8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1" t="s">
        <v>5</v>
      </c>
      <c r="C8" s="72"/>
      <c r="D8" s="72"/>
      <c r="E8" s="72"/>
      <c r="F8" s="72"/>
      <c r="G8" s="73"/>
      <c r="H8" s="1"/>
    </row>
    <row r="9" spans="1:8" ht="39" customHeight="1" x14ac:dyDescent="0.25">
      <c r="A9" s="1"/>
      <c r="B9" s="42" t="s">
        <v>0</v>
      </c>
      <c r="C9" s="17" t="s">
        <v>1</v>
      </c>
      <c r="D9" s="24" t="s">
        <v>2</v>
      </c>
      <c r="E9" s="24" t="s">
        <v>79</v>
      </c>
      <c r="F9" s="96" t="s">
        <v>3</v>
      </c>
      <c r="G9" s="96"/>
      <c r="H9" s="1"/>
    </row>
    <row r="10" spans="1:8" x14ac:dyDescent="0.25">
      <c r="A10" s="1"/>
      <c r="B10" s="43" t="s">
        <v>113</v>
      </c>
      <c r="C10" s="39">
        <v>2015</v>
      </c>
      <c r="D10" s="39">
        <v>75</v>
      </c>
      <c r="E10" s="37">
        <v>23987</v>
      </c>
      <c r="F10" s="20">
        <f>E10/D10</f>
        <v>319.82666666666665</v>
      </c>
      <c r="G10" s="10" t="s">
        <v>4</v>
      </c>
      <c r="H10" s="1"/>
    </row>
    <row r="11" spans="1:8" x14ac:dyDescent="0.25">
      <c r="A11" s="1"/>
      <c r="B11" s="43" t="s">
        <v>113</v>
      </c>
      <c r="C11" s="39">
        <v>2015</v>
      </c>
      <c r="D11" s="39">
        <v>75</v>
      </c>
      <c r="E11" s="37">
        <v>72086804</v>
      </c>
      <c r="F11" s="20">
        <f t="shared" ref="F11:F24" si="0">E11/D11</f>
        <v>961157.38666666672</v>
      </c>
      <c r="G11" s="10" t="s">
        <v>4</v>
      </c>
      <c r="H11" s="1"/>
    </row>
    <row r="12" spans="1:8" x14ac:dyDescent="0.25">
      <c r="A12" s="1"/>
      <c r="B12" s="43" t="s">
        <v>114</v>
      </c>
      <c r="C12" s="39">
        <v>2015</v>
      </c>
      <c r="D12" s="39">
        <v>5</v>
      </c>
      <c r="E12" s="37">
        <v>2697670</v>
      </c>
      <c r="F12" s="20">
        <f t="shared" si="0"/>
        <v>539534</v>
      </c>
      <c r="G12" s="10" t="s">
        <v>4</v>
      </c>
      <c r="H12" s="1"/>
    </row>
    <row r="13" spans="1:8" x14ac:dyDescent="0.25">
      <c r="A13" s="1"/>
      <c r="B13" s="43" t="s">
        <v>115</v>
      </c>
      <c r="C13" s="39">
        <v>2015</v>
      </c>
      <c r="D13" s="39">
        <v>8</v>
      </c>
      <c r="E13" s="37">
        <v>9023736</v>
      </c>
      <c r="F13" s="20">
        <f t="shared" si="0"/>
        <v>1127967</v>
      </c>
      <c r="G13" s="10" t="s">
        <v>4</v>
      </c>
      <c r="H13" s="1"/>
    </row>
    <row r="14" spans="1:8" x14ac:dyDescent="0.25">
      <c r="A14" s="1"/>
      <c r="B14" s="43" t="s">
        <v>116</v>
      </c>
      <c r="C14" s="39">
        <v>2015</v>
      </c>
      <c r="D14" s="39">
        <v>10</v>
      </c>
      <c r="E14" s="37">
        <v>7379921</v>
      </c>
      <c r="F14" s="20">
        <f t="shared" si="0"/>
        <v>737992.1</v>
      </c>
      <c r="G14" s="10" t="s">
        <v>4</v>
      </c>
      <c r="H14" s="1"/>
    </row>
    <row r="15" spans="1:8" x14ac:dyDescent="0.25">
      <c r="A15" s="1"/>
      <c r="B15" s="43" t="s">
        <v>117</v>
      </c>
      <c r="C15" s="39">
        <v>2015</v>
      </c>
      <c r="D15" s="39">
        <v>10</v>
      </c>
      <c r="E15" s="37">
        <v>1368450</v>
      </c>
      <c r="F15" s="20">
        <f t="shared" si="0"/>
        <v>136845</v>
      </c>
      <c r="G15" s="10" t="s">
        <v>4</v>
      </c>
      <c r="H15" s="1"/>
    </row>
    <row r="16" spans="1:8" x14ac:dyDescent="0.25">
      <c r="A16" s="1"/>
      <c r="B16" s="43" t="s">
        <v>118</v>
      </c>
      <c r="C16" s="39">
        <v>2015</v>
      </c>
      <c r="D16" s="39">
        <v>20</v>
      </c>
      <c r="E16" s="37">
        <v>301566</v>
      </c>
      <c r="F16" s="20">
        <f t="shared" si="0"/>
        <v>15078.3</v>
      </c>
      <c r="G16" s="10" t="s">
        <v>4</v>
      </c>
      <c r="H16" s="1"/>
    </row>
    <row r="17" spans="1:8" x14ac:dyDescent="0.25">
      <c r="A17" s="1"/>
      <c r="B17" s="43" t="s">
        <v>119</v>
      </c>
      <c r="C17" s="39">
        <v>2015</v>
      </c>
      <c r="D17" s="39">
        <v>30</v>
      </c>
      <c r="E17" s="37">
        <v>1191834</v>
      </c>
      <c r="F17" s="20">
        <f t="shared" si="0"/>
        <v>39727.800000000003</v>
      </c>
      <c r="G17" s="10" t="s">
        <v>4</v>
      </c>
      <c r="H17" s="1"/>
    </row>
    <row r="18" spans="1:8" x14ac:dyDescent="0.25">
      <c r="A18" s="1"/>
      <c r="B18" s="43" t="s">
        <v>120</v>
      </c>
      <c r="C18" s="39">
        <v>2015</v>
      </c>
      <c r="D18" s="39">
        <v>30</v>
      </c>
      <c r="E18" s="37">
        <v>945826</v>
      </c>
      <c r="F18" s="20">
        <f t="shared" si="0"/>
        <v>31527.533333333333</v>
      </c>
      <c r="G18" s="10" t="s">
        <v>4</v>
      </c>
      <c r="H18" s="1"/>
    </row>
    <row r="19" spans="1:8" x14ac:dyDescent="0.25">
      <c r="A19" s="1"/>
      <c r="B19" s="43" t="s">
        <v>121</v>
      </c>
      <c r="C19" s="39">
        <v>2015</v>
      </c>
      <c r="D19" s="39">
        <v>25</v>
      </c>
      <c r="E19" s="37">
        <v>1443753</v>
      </c>
      <c r="F19" s="20">
        <f t="shared" si="0"/>
        <v>57750.12</v>
      </c>
      <c r="G19" s="10" t="s">
        <v>4</v>
      </c>
      <c r="H19" s="1"/>
    </row>
    <row r="20" spans="1:8" x14ac:dyDescent="0.25">
      <c r="A20" s="1"/>
      <c r="B20" s="43" t="s">
        <v>122</v>
      </c>
      <c r="C20" s="39">
        <v>2015</v>
      </c>
      <c r="D20" s="39">
        <v>50</v>
      </c>
      <c r="E20" s="37">
        <v>13097353</v>
      </c>
      <c r="F20" s="20">
        <f t="shared" si="0"/>
        <v>261947.06</v>
      </c>
      <c r="G20" s="10" t="s">
        <v>4</v>
      </c>
      <c r="H20" s="1"/>
    </row>
    <row r="21" spans="1:8" x14ac:dyDescent="0.25">
      <c r="A21" s="1"/>
      <c r="B21" s="43" t="s">
        <v>123</v>
      </c>
      <c r="C21" s="39">
        <v>2015</v>
      </c>
      <c r="D21" s="39">
        <v>25</v>
      </c>
      <c r="E21" s="37">
        <v>12682531</v>
      </c>
      <c r="F21" s="20">
        <f t="shared" si="0"/>
        <v>507301.24</v>
      </c>
      <c r="G21" s="10" t="s">
        <v>4</v>
      </c>
      <c r="H21" s="1"/>
    </row>
    <row r="22" spans="1:8" x14ac:dyDescent="0.25">
      <c r="A22" s="1"/>
      <c r="B22" s="43" t="s">
        <v>124</v>
      </c>
      <c r="C22" s="39">
        <v>2015</v>
      </c>
      <c r="D22" s="39">
        <v>50</v>
      </c>
      <c r="E22" s="37">
        <v>6341266</v>
      </c>
      <c r="F22" s="20">
        <f t="shared" si="0"/>
        <v>126825.32</v>
      </c>
      <c r="G22" s="10" t="s">
        <v>4</v>
      </c>
      <c r="H22" s="1"/>
    </row>
    <row r="23" spans="1:8" x14ac:dyDescent="0.25">
      <c r="A23" s="1"/>
      <c r="B23" s="43" t="s">
        <v>125</v>
      </c>
      <c r="C23" s="39">
        <v>2015</v>
      </c>
      <c r="D23" s="39">
        <v>50</v>
      </c>
      <c r="E23" s="37">
        <v>36647595</v>
      </c>
      <c r="F23" s="20">
        <f t="shared" si="0"/>
        <v>732951.9</v>
      </c>
      <c r="G23" s="10" t="s">
        <v>4</v>
      </c>
      <c r="H23" s="1"/>
    </row>
    <row r="24" spans="1:8" x14ac:dyDescent="0.25">
      <c r="A24" s="1"/>
      <c r="B24" s="43" t="s">
        <v>126</v>
      </c>
      <c r="C24" s="39">
        <v>2015</v>
      </c>
      <c r="D24" s="39">
        <v>20</v>
      </c>
      <c r="E24" s="37">
        <v>473187</v>
      </c>
      <c r="F24" s="20">
        <f t="shared" si="0"/>
        <v>23659.35</v>
      </c>
      <c r="G24" s="10" t="s">
        <v>4</v>
      </c>
      <c r="H24" s="1"/>
    </row>
    <row r="25" spans="1:8" x14ac:dyDescent="0.25">
      <c r="A25" s="1"/>
      <c r="B25" s="71" t="s">
        <v>127</v>
      </c>
      <c r="C25" s="72"/>
      <c r="D25" s="72"/>
      <c r="E25" s="73"/>
      <c r="F25" s="33">
        <f>SUM(F10:F24)</f>
        <v>5300583.9366666665</v>
      </c>
      <c r="G25" s="1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0" t="s">
        <v>7</v>
      </c>
      <c r="C3" s="100"/>
      <c r="D3" s="100"/>
      <c r="E3" s="100"/>
      <c r="F3" s="100"/>
      <c r="G3" s="100"/>
      <c r="H3" s="100"/>
      <c r="I3" s="1"/>
    </row>
    <row r="4" spans="1:9" ht="15" customHeight="1" x14ac:dyDescent="0.25">
      <c r="A4" s="1"/>
      <c r="B4" s="100"/>
      <c r="C4" s="100"/>
      <c r="D4" s="100"/>
      <c r="E4" s="100"/>
      <c r="F4" s="100"/>
      <c r="G4" s="100"/>
      <c r="H4" s="10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7" t="s">
        <v>92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81" t="s">
        <v>80</v>
      </c>
      <c r="C9" s="82"/>
      <c r="D9" s="82"/>
      <c r="E9" s="82"/>
      <c r="F9" s="83"/>
      <c r="G9" s="37">
        <v>103757637</v>
      </c>
      <c r="H9" s="10" t="s">
        <v>4</v>
      </c>
      <c r="I9" s="1"/>
    </row>
    <row r="10" spans="1:9" x14ac:dyDescent="0.25">
      <c r="A10" s="1"/>
      <c r="B10" s="81" t="s">
        <v>81</v>
      </c>
      <c r="C10" s="82"/>
      <c r="D10" s="82"/>
      <c r="E10" s="82"/>
      <c r="F10" s="83"/>
      <c r="G10" s="37">
        <v>103487673</v>
      </c>
      <c r="H10" s="10" t="s">
        <v>4</v>
      </c>
      <c r="I10" s="1"/>
    </row>
    <row r="11" spans="1:9" x14ac:dyDescent="0.25">
      <c r="A11" s="1"/>
      <c r="B11" s="71" t="s">
        <v>82</v>
      </c>
      <c r="C11" s="72"/>
      <c r="D11" s="72"/>
      <c r="E11" s="72"/>
      <c r="F11" s="73"/>
      <c r="G11" s="33">
        <f>G9-G10</f>
        <v>269964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7" t="s">
        <v>83</v>
      </c>
      <c r="C14" s="98"/>
      <c r="D14" s="98"/>
      <c r="E14" s="98"/>
      <c r="F14" s="98"/>
      <c r="G14" s="98"/>
      <c r="H14" s="99"/>
      <c r="I14" s="1"/>
    </row>
    <row r="15" spans="1:9" x14ac:dyDescent="0.25">
      <c r="A15" s="1"/>
      <c r="B15" s="81" t="s">
        <v>84</v>
      </c>
      <c r="C15" s="82"/>
      <c r="D15" s="82"/>
      <c r="E15" s="82"/>
      <c r="F15" s="83"/>
      <c r="G15" s="37">
        <v>604041</v>
      </c>
      <c r="H15" s="10" t="s">
        <v>4</v>
      </c>
      <c r="I15" s="1"/>
    </row>
    <row r="16" spans="1:9" x14ac:dyDescent="0.25">
      <c r="A16" s="1"/>
      <c r="B16" s="81" t="s">
        <v>85</v>
      </c>
      <c r="C16" s="82"/>
      <c r="D16" s="82"/>
      <c r="E16" s="82"/>
      <c r="F16" s="83"/>
      <c r="G16" s="37">
        <v>-1200000</v>
      </c>
      <c r="H16" s="10" t="s">
        <v>4</v>
      </c>
      <c r="I16" s="1"/>
    </row>
    <row r="17" spans="1:9" x14ac:dyDescent="0.25">
      <c r="A17" s="1"/>
      <c r="B17" s="71" t="s">
        <v>86</v>
      </c>
      <c r="C17" s="72"/>
      <c r="D17" s="72"/>
      <c r="E17" s="72"/>
      <c r="F17" s="73"/>
      <c r="G17" s="33">
        <f>G15-G16</f>
        <v>1804041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7" t="s">
        <v>93</v>
      </c>
      <c r="C20" s="98"/>
      <c r="D20" s="98"/>
      <c r="E20" s="98"/>
      <c r="F20" s="98"/>
      <c r="G20" s="98"/>
      <c r="H20" s="99"/>
      <c r="I20" s="1"/>
    </row>
    <row r="21" spans="1:9" x14ac:dyDescent="0.25">
      <c r="A21" s="1"/>
      <c r="B21" s="81" t="s">
        <v>94</v>
      </c>
      <c r="C21" s="82"/>
      <c r="D21" s="82"/>
      <c r="E21" s="82"/>
      <c r="F21" s="83"/>
      <c r="G21" s="37">
        <v>5587177</v>
      </c>
      <c r="H21" s="10" t="s">
        <v>4</v>
      </c>
      <c r="I21" s="1"/>
    </row>
    <row r="22" spans="1:9" x14ac:dyDescent="0.25">
      <c r="A22" s="1"/>
      <c r="B22" s="81" t="s">
        <v>96</v>
      </c>
      <c r="C22" s="82"/>
      <c r="D22" s="82"/>
      <c r="E22" s="82"/>
      <c r="F22" s="83"/>
      <c r="G22" s="37">
        <v>11000000</v>
      </c>
      <c r="H22" s="10" t="s">
        <v>4</v>
      </c>
      <c r="I22" s="1"/>
    </row>
    <row r="23" spans="1:9" x14ac:dyDescent="0.25">
      <c r="A23" s="1"/>
      <c r="B23" s="71" t="s">
        <v>95</v>
      </c>
      <c r="C23" s="72"/>
      <c r="D23" s="72"/>
      <c r="E23" s="72"/>
      <c r="F23" s="73"/>
      <c r="G23" s="33">
        <f>G21-G22</f>
        <v>-5412823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7" t="s">
        <v>87</v>
      </c>
      <c r="C26" s="98"/>
      <c r="D26" s="98"/>
      <c r="E26" s="98"/>
      <c r="F26" s="98"/>
      <c r="G26" s="98"/>
      <c r="H26" s="99"/>
      <c r="I26" s="1"/>
    </row>
    <row r="27" spans="1:9" x14ac:dyDescent="0.25">
      <c r="A27" s="1"/>
      <c r="B27" s="81" t="s">
        <v>88</v>
      </c>
      <c r="C27" s="82"/>
      <c r="D27" s="82"/>
      <c r="E27" s="82"/>
      <c r="F27" s="83"/>
      <c r="G27" s="37">
        <v>3307000</v>
      </c>
      <c r="H27" s="10" t="s">
        <v>4</v>
      </c>
      <c r="I27" s="1"/>
    </row>
    <row r="28" spans="1:9" x14ac:dyDescent="0.25">
      <c r="A28" s="1"/>
      <c r="B28" s="81" t="s">
        <v>89</v>
      </c>
      <c r="C28" s="82"/>
      <c r="D28" s="82"/>
      <c r="E28" s="82"/>
      <c r="F28" s="83"/>
      <c r="G28" s="37">
        <v>4570000</v>
      </c>
      <c r="H28" s="10" t="s">
        <v>4</v>
      </c>
      <c r="I28" s="1"/>
    </row>
    <row r="29" spans="1:9" x14ac:dyDescent="0.25">
      <c r="A29" s="1"/>
      <c r="B29" s="81" t="s">
        <v>90</v>
      </c>
      <c r="C29" s="82"/>
      <c r="D29" s="82"/>
      <c r="E29" s="82"/>
      <c r="F29" s="83"/>
      <c r="G29" s="20">
        <f>'Fane 7. Gen. inv. i 2015'!F25</f>
        <v>5300583.9366666665</v>
      </c>
      <c r="H29" s="10" t="s">
        <v>4</v>
      </c>
      <c r="I29" s="1"/>
    </row>
    <row r="30" spans="1:9" x14ac:dyDescent="0.25">
      <c r="A30" s="1"/>
      <c r="B30" s="71" t="s">
        <v>87</v>
      </c>
      <c r="C30" s="72"/>
      <c r="D30" s="72"/>
      <c r="E30" s="72"/>
      <c r="F30" s="73"/>
      <c r="G30" s="33">
        <f>G29-G27+G29-G28</f>
        <v>2724167.8733333331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2016-12-13T11:39:23Z</dcterms:modified>
</cp:coreProperties>
</file>