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80" yWindow="180" windowWidth="12195" windowHeight="15015" firstSheet="9" activeTab="1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7" i="11" l="1"/>
  <c r="F16" i="11"/>
  <c r="F15" i="11"/>
  <c r="F14" i="11"/>
  <c r="F13" i="11"/>
  <c r="F12" i="11"/>
  <c r="F11" i="11"/>
  <c r="F10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8" i="11"/>
  <c r="G29" i="12" s="1"/>
  <c r="E14" i="2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3" i="4" l="1"/>
  <c r="G13" i="4" s="1"/>
  <c r="G16" i="4" s="1"/>
  <c r="E11" i="4"/>
  <c r="E12" i="4"/>
  <c r="E9" i="5"/>
  <c r="E12" i="5" l="1"/>
  <c r="E9" i="6" s="1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<sst xmlns="http://schemas.openxmlformats.org/spreadsheetml/2006/main" count="258" uniqueCount="125">
  <si>
    <t>Beskrivelse af investeringen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</si>
  <si>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</si>
  <si>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</si>
  <si>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</si>
  <si>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</si>
  <si>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</si>
  <si>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</si>
  <si>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</si>
  <si>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</si>
  <si>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</si>
  <si>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</si>
  <si>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</si>
  <si>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</si>
  <si>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</si>
  <si>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</si>
  <si>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</si>
  <si>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</si>
  <si>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</si>
  <si>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</si>
  <si>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</si>
  <si>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</si>
  <si>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</si>
  <si>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</si>
  <si>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</si>
  <si>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</si>
  <si>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</si>
  <si>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</si>
  <si>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</si>
  <si>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</si>
  <si>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</si>
  <si>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</si>
  <si>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</si>
  <si>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</si>
  <si>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</si>
  <si>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</si>
  <si>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</si>
  <si>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</si>
  <si>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</si>
  <si>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</si>
  <si>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</si>
  <si>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</si>
  <si>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</si>
  <si>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</si>
  <si>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</si>
  <si>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</si>
  <si>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</si>
  <si>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</si>
  <si>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</si>
  <si>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</si>
  <si>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</si>
  <si>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</si>
  <si>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</si>
  <si>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</si>
  <si>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</si>
  <si>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</si>
  <si>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</si>
  <si>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</si>
  <si>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</si>
  <si>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</si>
  <si>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</si>
  <si>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</si>
  <si>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</si>
  <si>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</si>
  <si>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</si>
  <si>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</si>
  <si>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</si>
  <si>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</si>
  <si>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</si>
  <si>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</si>
  <si>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</si>
  <si>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</si>
  <si>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</si>
  <si>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</si>
  <si>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</si>
  <si>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</si>
  <si>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</si>
  <si>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</si>
  <si>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</si>
  <si>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</si>
  <si>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</si>
  <si>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</si>
  <si>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</si>
  <si>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</si>
  <si>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</si>
  <si>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</si>
  <si>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</si>
  <si>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</si>
  <si>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</si>
  <si>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</si>
  <si>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</si>
  <si>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</si>
  <si>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</si>
  <si>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</si>
  <si>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</si>
  <si>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</si>
  <si>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</si>
  <si>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</si>
  <si>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</si>
  <si>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</si>
  <si>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</si>
  <si>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</si>
  <si>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</si>
  <si>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</si>
  <si>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</si>
  <si>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</si>
  <si>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</si>
  <si>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</si>
  <si>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</si>
  <si>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</si>
  <si>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Glasfront vandværksbygning</t>
  </si>
  <si>
    <t>Udpumpningsanlæg, rentvandspumper på vandværk</t>
  </si>
  <si>
    <t>Ø 50mm &lt; Ledningsnet ≤ Ø110 mm</t>
  </si>
  <si>
    <t>Stik på ledningsnet, Konstruktioner</t>
  </si>
  <si>
    <t>Køretøjer, små lastvogne (&lt; 3.500 kg.)</t>
  </si>
  <si>
    <t>Afregningsmålere, elektroniske ≤ Ø 110mm (Qn 10)</t>
  </si>
  <si>
    <t>Arbejdsplads</t>
  </si>
  <si>
    <t>Årstal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</si>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</sst>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82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6" fontId="13" fillId="0" borderId="0"/>
    <xf numFmtId="3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2" applyFill="0" applyAlignment="0" applyProtection="0"/>
    <xf numFmtId="165" fontId="26" fillId="0" borderId="22" applyFill="0" applyAlignment="0" applyProtection="0"/>
    <xf numFmtId="167" fontId="26" fillId="0" borderId="22" applyFill="0" applyAlignment="0" applyProtection="0"/>
    <xf numFmtId="168" fontId="26" fillId="0" borderId="22" applyFill="0" applyAlignment="0" applyProtection="0"/>
    <xf numFmtId="164" fontId="13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31" fillId="44" borderId="2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3" fillId="55" borderId="24" applyNumberFormat="0" applyFont="0" applyAlignment="0" applyProtection="0"/>
    <xf numFmtId="0" fontId="34" fillId="53" borderId="25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37" fontId="38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166" fontId="13" fillId="0" borderId="0"/>
    <xf numFmtId="164" fontId="13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37" fontId="38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40" fillId="0" borderId="0" applyNumberFormat="0" applyBorder="0" applyAlignment="0"/>
    <xf numFmtId="0" fontId="41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0" fillId="10" borderId="0" xfId="0" applyFill="1"/>
    <xf numFmtId="0" fontId="9" fillId="10" borderId="1" xfId="0" applyFont="1" applyFill="1" applyBorder="1" applyAlignment="1">
      <alignment wrapText="1"/>
    </xf>
    <xf numFmtId="0" fontId="9" fillId="10" borderId="4" xfId="0" applyFont="1" applyFill="1" applyBorder="1" applyAlignment="1">
      <alignment wrapText="1"/>
    </xf>
    <xf numFmtId="0" fontId="9" fillId="10" borderId="6" xfId="0" applyFont="1" applyFill="1" applyBorder="1" applyAlignment="1">
      <alignment wrapText="1"/>
    </xf>
    <xf numFmtId="0" fontId="9" fillId="10" borderId="1" xfId="0" applyFont="1" applyFill="1" applyBorder="1"/>
    <xf numFmtId="3" fontId="9" fillId="10" borderId="7" xfId="0" applyNumberFormat="1" applyFont="1" applyFill="1" applyBorder="1"/>
    <xf numFmtId="0" fontId="9" fillId="10" borderId="8" xfId="0" applyFont="1" applyFill="1" applyBorder="1" applyAlignment="1">
      <alignment wrapText="1"/>
    </xf>
    <xf numFmtId="0" fontId="9" fillId="10" borderId="7" xfId="0" applyFont="1" applyFill="1" applyBorder="1"/>
    <xf numFmtId="0" fontId="9" fillId="10" borderId="9" xfId="0" applyFont="1" applyFill="1" applyBorder="1"/>
    <xf numFmtId="0" fontId="9" fillId="10" borderId="10" xfId="0" applyFont="1" applyFill="1" applyBorder="1" applyAlignment="1">
      <alignment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10" borderId="4" xfId="0" applyFont="1" applyFill="1" applyBorder="1"/>
    <xf numFmtId="3" fontId="9" fillId="10" borderId="1" xfId="0" applyNumberFormat="1" applyFont="1" applyFill="1" applyBorder="1"/>
    <xf numFmtId="0" fontId="10" fillId="2" borderId="0" xfId="0" applyFont="1" applyFill="1"/>
    <xf numFmtId="0" fontId="9" fillId="2" borderId="0" xfId="0" applyFont="1" applyFill="1"/>
    <xf numFmtId="0" fontId="11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10" borderId="6" xfId="0" applyFont="1" applyFill="1" applyBorder="1"/>
    <xf numFmtId="0" fontId="9" fillId="10" borderId="8" xfId="0" applyFont="1" applyFill="1" applyBorder="1"/>
    <xf numFmtId="0" fontId="9" fillId="10" borderId="10" xfId="0" applyFont="1" applyFill="1" applyBorder="1"/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3" fontId="9" fillId="11" borderId="12" xfId="1" applyNumberFormat="1" applyFont="1" applyFill="1" applyBorder="1" applyAlignment="1" applyProtection="1">
      <alignment horizontal="right"/>
    </xf>
    <xf numFmtId="3" fontId="9" fillId="10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/>
    <xf numFmtId="3" fontId="8" fillId="3" borderId="1" xfId="0" applyNumberFormat="1" applyFont="1" applyFill="1" applyBorder="1"/>
    <xf numFmtId="3" fontId="9" fillId="10" borderId="1" xfId="0" applyNumberFormat="1" applyFont="1" applyFill="1" applyBorder="1" applyAlignment="1" applyProtection="1">
      <alignment wrapText="1"/>
      <protection locked="0"/>
    </xf>
    <xf numFmtId="3" fontId="9" fillId="10" borderId="1" xfId="0" applyNumberFormat="1" applyFont="1" applyFill="1" applyBorder="1" applyProtection="1">
      <protection locked="0"/>
    </xf>
    <xf numFmtId="3" fontId="9" fillId="4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49" fontId="9" fillId="10" borderId="2" xfId="0" applyNumberFormat="1" applyFont="1" applyFill="1" applyBorder="1" applyAlignment="1" applyProtection="1">
      <alignment horizontal="left" wrapText="1"/>
      <protection locked="0"/>
    </xf>
    <xf numFmtId="170" fontId="9" fillId="10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42" fillId="8" borderId="7" xfId="2728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9" borderId="7" xfId="2728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7" xfId="2728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7" xfId="2728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2" fillId="6" borderId="7" xfId="2728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2" fillId="7" borderId="7" xfId="2728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3" borderId="4" xfId="2728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10" borderId="2" xfId="0" quotePrefix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8" fillId="3" borderId="2" xfId="0" quotePrefix="1" applyFont="1" applyFill="1" applyBorder="1" applyAlignment="1">
      <alignment horizontal="left"/>
    </xf>
  </cellXfs>
  <cellStyles count="27282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heck Cell" xfId="16"/>
    <cellStyle name="Decimal" xfId="94"/>
    <cellStyle name="Decimal (negative)" xfId="95"/>
    <cellStyle name="Explanatory Text" xfId="17"/>
    <cellStyle name="God 2" xfId="121"/>
    <cellStyle name="Heading 1" xfId="7"/>
    <cellStyle name="Heading 2" xfId="8"/>
    <cellStyle name="Heading 3" xfId="9"/>
    <cellStyle name="Heading 4" xfId="10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1" xfId="4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281" builtinId="8"/>
    <cellStyle name="Link 2" xfId="27278"/>
    <cellStyle name="Linked Cell" xfId="15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2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7" xfId="5"/>
    <cellStyle name="Normal 28" xfId="3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Valuta 2" xfId="27279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10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108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11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65" t="s">
        <v>25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13</v>
      </c>
      <c r="D14" s="53" t="s">
        <v>22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14</v>
      </c>
      <c r="D15" s="53" t="s">
        <v>23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15</v>
      </c>
      <c r="D16" s="53" t="s">
        <v>24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16</v>
      </c>
      <c r="D17" s="56" t="s">
        <v>26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17</v>
      </c>
      <c r="D18" s="59" t="s">
        <v>27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18</v>
      </c>
      <c r="D19" s="62" t="s">
        <v>31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19</v>
      </c>
      <c r="D20" s="45" t="s">
        <v>5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20</v>
      </c>
      <c r="D21" s="45" t="s">
        <v>28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21</v>
      </c>
      <c r="D22" s="48" t="s">
        <v>29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122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80</v>
      </c>
      <c r="C9" s="79"/>
      <c r="D9" s="79"/>
      <c r="E9" s="79"/>
      <c r="F9" s="80"/>
      <c r="G9" s="36">
        <v>4070798</v>
      </c>
      <c r="H9" s="10" t="s">
        <v>3</v>
      </c>
      <c r="I9" s="1"/>
    </row>
    <row r="10" spans="1:9" x14ac:dyDescent="0.25">
      <c r="A10" s="1"/>
      <c r="B10" s="78" t="s">
        <v>81</v>
      </c>
      <c r="C10" s="79"/>
      <c r="D10" s="79"/>
      <c r="E10" s="79"/>
      <c r="F10" s="80"/>
      <c r="G10" s="36">
        <v>4318128</v>
      </c>
      <c r="H10" s="10" t="s">
        <v>3</v>
      </c>
      <c r="I10" s="1"/>
    </row>
    <row r="11" spans="1:9" x14ac:dyDescent="0.25">
      <c r="A11" s="1"/>
      <c r="B11" s="74" t="s">
        <v>82</v>
      </c>
      <c r="C11" s="75"/>
      <c r="D11" s="75"/>
      <c r="E11" s="75"/>
      <c r="F11" s="76"/>
      <c r="G11" s="34">
        <f>G9-G10</f>
        <v>-247330</v>
      </c>
      <c r="H11" s="18" t="s">
        <v>3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83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84</v>
      </c>
      <c r="C15" s="79"/>
      <c r="D15" s="79"/>
      <c r="E15" s="79"/>
      <c r="F15" s="80"/>
      <c r="G15" s="36">
        <v>9575</v>
      </c>
      <c r="H15" s="10" t="s">
        <v>3</v>
      </c>
      <c r="I15" s="1"/>
    </row>
    <row r="16" spans="1:9" x14ac:dyDescent="0.25">
      <c r="A16" s="1"/>
      <c r="B16" s="78" t="s">
        <v>85</v>
      </c>
      <c r="C16" s="79"/>
      <c r="D16" s="79"/>
      <c r="E16" s="79"/>
      <c r="F16" s="80"/>
      <c r="G16" s="36">
        <v>29000</v>
      </c>
      <c r="H16" s="10" t="s">
        <v>3</v>
      </c>
      <c r="I16" s="1"/>
    </row>
    <row r="17" spans="1:9" x14ac:dyDescent="0.25">
      <c r="A17" s="1"/>
      <c r="B17" s="74" t="s">
        <v>86</v>
      </c>
      <c r="C17" s="75"/>
      <c r="D17" s="75"/>
      <c r="E17" s="75"/>
      <c r="F17" s="76"/>
      <c r="G17" s="34">
        <f>G15-G16</f>
        <v>-19425</v>
      </c>
      <c r="H17" s="18" t="s">
        <v>3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93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94</v>
      </c>
      <c r="C21" s="79"/>
      <c r="D21" s="79"/>
      <c r="E21" s="79"/>
      <c r="F21" s="80"/>
      <c r="G21" s="36">
        <v>0</v>
      </c>
      <c r="H21" s="10" t="s">
        <v>3</v>
      </c>
      <c r="I21" s="1"/>
    </row>
    <row r="22" spans="1:9" x14ac:dyDescent="0.25">
      <c r="A22" s="1"/>
      <c r="B22" s="78" t="s">
        <v>96</v>
      </c>
      <c r="C22" s="79"/>
      <c r="D22" s="79"/>
      <c r="E22" s="79"/>
      <c r="F22" s="80"/>
      <c r="G22" s="36">
        <v>0</v>
      </c>
      <c r="H22" s="10" t="s">
        <v>3</v>
      </c>
      <c r="I22" s="1"/>
    </row>
    <row r="23" spans="1:9" x14ac:dyDescent="0.25">
      <c r="A23" s="1"/>
      <c r="B23" s="74" t="s">
        <v>95</v>
      </c>
      <c r="C23" s="75"/>
      <c r="D23" s="75"/>
      <c r="E23" s="75"/>
      <c r="F23" s="76"/>
      <c r="G23" s="34">
        <f>G21-G22</f>
        <v>0</v>
      </c>
      <c r="H23" s="18" t="s">
        <v>3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87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88</v>
      </c>
      <c r="C27" s="79"/>
      <c r="D27" s="79"/>
      <c r="E27" s="79"/>
      <c r="F27" s="80"/>
      <c r="G27" s="36">
        <v>96000</v>
      </c>
      <c r="H27" s="10" t="s">
        <v>3</v>
      </c>
      <c r="I27" s="1"/>
    </row>
    <row r="28" spans="1:9" x14ac:dyDescent="0.25">
      <c r="A28" s="1"/>
      <c r="B28" s="78" t="s">
        <v>89</v>
      </c>
      <c r="C28" s="79"/>
      <c r="D28" s="79"/>
      <c r="E28" s="79"/>
      <c r="F28" s="80"/>
      <c r="G28" s="36">
        <v>109833</v>
      </c>
      <c r="H28" s="10" t="s">
        <v>3</v>
      </c>
      <c r="I28" s="1"/>
    </row>
    <row r="29" spans="1:9" x14ac:dyDescent="0.25">
      <c r="A29" s="1"/>
      <c r="B29" s="78" t="s">
        <v>90</v>
      </c>
      <c r="C29" s="79"/>
      <c r="D29" s="79"/>
      <c r="E29" s="79"/>
      <c r="F29" s="80"/>
      <c r="G29" s="20">
        <f>'Fane 6. Gen. inv. i 2015'!F18</f>
        <v>161193.43333333332</v>
      </c>
      <c r="H29" s="10" t="s">
        <v>3</v>
      </c>
      <c r="I29" s="1"/>
    </row>
    <row r="30" spans="1:9" x14ac:dyDescent="0.25">
      <c r="A30" s="1"/>
      <c r="B30" s="74" t="s">
        <v>87</v>
      </c>
      <c r="C30" s="75"/>
      <c r="D30" s="75"/>
      <c r="E30" s="75"/>
      <c r="F30" s="76"/>
      <c r="G30" s="34">
        <f>G29-G27+G29-G28</f>
        <v>116553.86666666664</v>
      </c>
      <c r="H30" s="18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tabSelected="1" view="pageLayout" topLeftCell="A5" zoomScaleNormal="100" workbookViewId="0">
      <selection activeCell="E38" sqref="E38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123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50</v>
      </c>
      <c r="C9" s="83"/>
      <c r="D9" s="83"/>
      <c r="E9" s="83"/>
      <c r="F9" s="84"/>
      <c r="G9" s="37">
        <v>16737097</v>
      </c>
      <c r="H9" s="16" t="s">
        <v>3</v>
      </c>
      <c r="I9" s="1"/>
    </row>
    <row r="10" spans="1:9" x14ac:dyDescent="0.25">
      <c r="A10" s="1"/>
      <c r="B10" s="74" t="s">
        <v>51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52</v>
      </c>
      <c r="C11" s="79"/>
      <c r="D11" s="80"/>
      <c r="E11" s="36">
        <v>3328568</v>
      </c>
      <c r="F11" s="10" t="s">
        <v>3</v>
      </c>
      <c r="G11" s="19"/>
      <c r="H11" s="25"/>
      <c r="I11" s="1"/>
    </row>
    <row r="12" spans="1:9" x14ac:dyDescent="0.25">
      <c r="A12" s="1"/>
      <c r="B12" s="78" t="s">
        <v>53</v>
      </c>
      <c r="C12" s="79"/>
      <c r="D12" s="80"/>
      <c r="E12" s="36">
        <v>480234</v>
      </c>
      <c r="F12" s="10" t="s">
        <v>3</v>
      </c>
      <c r="G12" s="13"/>
      <c r="H12" s="26"/>
      <c r="I12" s="1"/>
    </row>
    <row r="13" spans="1:9" x14ac:dyDescent="0.25">
      <c r="A13" s="1"/>
      <c r="B13" s="78" t="s">
        <v>54</v>
      </c>
      <c r="C13" s="79"/>
      <c r="D13" s="80"/>
      <c r="E13" s="36">
        <v>181449</v>
      </c>
      <c r="F13" s="10" t="s">
        <v>3</v>
      </c>
      <c r="G13" s="13"/>
      <c r="H13" s="26"/>
      <c r="I13" s="1"/>
    </row>
    <row r="14" spans="1:9" x14ac:dyDescent="0.25">
      <c r="A14" s="1"/>
      <c r="B14" s="78" t="s">
        <v>55</v>
      </c>
      <c r="C14" s="79"/>
      <c r="D14" s="80"/>
      <c r="E14" s="36">
        <v>151333</v>
      </c>
      <c r="F14" s="10" t="s">
        <v>3</v>
      </c>
      <c r="G14" s="13"/>
      <c r="H14" s="26"/>
      <c r="I14" s="1"/>
    </row>
    <row r="15" spans="1:9" x14ac:dyDescent="0.25">
      <c r="A15" s="1"/>
      <c r="B15" s="82" t="s">
        <v>56</v>
      </c>
      <c r="C15" s="83"/>
      <c r="D15" s="84"/>
      <c r="E15" s="33">
        <f>SUM(E11:E14)</f>
        <v>4141584</v>
      </c>
      <c r="F15" s="16" t="s">
        <v>3</v>
      </c>
      <c r="G15" s="13"/>
      <c r="H15" s="26"/>
      <c r="I15" s="1"/>
    </row>
    <row r="16" spans="1:9" x14ac:dyDescent="0.25">
      <c r="A16" s="1"/>
      <c r="B16" s="78" t="s">
        <v>57</v>
      </c>
      <c r="C16" s="79"/>
      <c r="D16" s="80"/>
      <c r="E16" s="36">
        <v>108999</v>
      </c>
      <c r="F16" s="10" t="s">
        <v>3</v>
      </c>
      <c r="G16" s="13"/>
      <c r="H16" s="26"/>
      <c r="I16" s="1"/>
    </row>
    <row r="17" spans="1:9" x14ac:dyDescent="0.25">
      <c r="A17" s="1"/>
      <c r="B17" s="78" t="s">
        <v>58</v>
      </c>
      <c r="C17" s="79"/>
      <c r="D17" s="80"/>
      <c r="E17" s="36">
        <v>39500</v>
      </c>
      <c r="F17" s="10" t="s">
        <v>3</v>
      </c>
      <c r="G17" s="13"/>
      <c r="H17" s="26"/>
      <c r="I17" s="1"/>
    </row>
    <row r="18" spans="1:9" x14ac:dyDescent="0.25">
      <c r="A18" s="1"/>
      <c r="B18" s="78" t="s">
        <v>59</v>
      </c>
      <c r="C18" s="79"/>
      <c r="D18" s="80"/>
      <c r="E18" s="36">
        <v>0</v>
      </c>
      <c r="F18" s="10" t="s">
        <v>3</v>
      </c>
      <c r="G18" s="13"/>
      <c r="H18" s="26"/>
      <c r="I18" s="1"/>
    </row>
    <row r="19" spans="1:9" x14ac:dyDescent="0.25">
      <c r="A19" s="1"/>
      <c r="B19" s="82" t="s">
        <v>60</v>
      </c>
      <c r="C19" s="83"/>
      <c r="D19" s="84"/>
      <c r="E19" s="33">
        <f>SUM(E16:E18)</f>
        <v>148499</v>
      </c>
      <c r="F19" s="16" t="s">
        <v>3</v>
      </c>
      <c r="G19" s="13"/>
      <c r="H19" s="26"/>
      <c r="I19" s="1"/>
    </row>
    <row r="20" spans="1:9" ht="29.25" customHeight="1" x14ac:dyDescent="0.25">
      <c r="A20" s="1"/>
      <c r="B20" s="68" t="s">
        <v>61</v>
      </c>
      <c r="C20" s="69"/>
      <c r="D20" s="70"/>
      <c r="E20" s="36">
        <v>0</v>
      </c>
      <c r="F20" s="10" t="s">
        <v>3</v>
      </c>
      <c r="G20" s="13"/>
      <c r="H20" s="26"/>
      <c r="I20" s="1"/>
    </row>
    <row r="21" spans="1:9" ht="30.75" customHeight="1" x14ac:dyDescent="0.25">
      <c r="A21" s="1"/>
      <c r="B21" s="68" t="s">
        <v>62</v>
      </c>
      <c r="C21" s="69"/>
      <c r="D21" s="70"/>
      <c r="E21" s="36">
        <v>-3858977</v>
      </c>
      <c r="F21" s="10" t="s">
        <v>3</v>
      </c>
      <c r="G21" s="13"/>
      <c r="H21" s="26"/>
      <c r="I21" s="1"/>
    </row>
    <row r="22" spans="1:9" x14ac:dyDescent="0.25">
      <c r="A22" s="1"/>
      <c r="B22" s="78" t="s">
        <v>63</v>
      </c>
      <c r="C22" s="79"/>
      <c r="D22" s="80"/>
      <c r="E22" s="36">
        <v>0</v>
      </c>
      <c r="F22" s="10" t="s">
        <v>3</v>
      </c>
      <c r="G22" s="13"/>
      <c r="H22" s="26"/>
      <c r="I22" s="1"/>
    </row>
    <row r="23" spans="1:9" x14ac:dyDescent="0.25">
      <c r="A23" s="1"/>
      <c r="B23" s="78" t="s">
        <v>64</v>
      </c>
      <c r="C23" s="79"/>
      <c r="D23" s="80"/>
      <c r="E23" s="36">
        <v>0</v>
      </c>
      <c r="F23" s="10" t="s">
        <v>3</v>
      </c>
      <c r="G23" s="13"/>
      <c r="H23" s="26"/>
      <c r="I23" s="1"/>
    </row>
    <row r="24" spans="1:9" ht="30" customHeight="1" x14ac:dyDescent="0.25">
      <c r="A24" s="1"/>
      <c r="B24" s="68" t="s">
        <v>65</v>
      </c>
      <c r="C24" s="69"/>
      <c r="D24" s="70"/>
      <c r="E24" s="36">
        <v>0</v>
      </c>
      <c r="F24" s="10" t="s">
        <v>3</v>
      </c>
      <c r="G24" s="13"/>
      <c r="H24" s="26"/>
      <c r="I24" s="1"/>
    </row>
    <row r="25" spans="1:9" ht="30" customHeight="1" x14ac:dyDescent="0.25">
      <c r="A25" s="1"/>
      <c r="B25" s="68" t="s">
        <v>66</v>
      </c>
      <c r="C25" s="69"/>
      <c r="D25" s="70"/>
      <c r="E25" s="36">
        <v>0</v>
      </c>
      <c r="F25" s="10" t="s">
        <v>3</v>
      </c>
      <c r="G25" s="13"/>
      <c r="H25" s="26"/>
      <c r="I25" s="1"/>
    </row>
    <row r="26" spans="1:9" ht="30" customHeight="1" x14ac:dyDescent="0.25">
      <c r="A26" s="1"/>
      <c r="B26" s="68" t="s">
        <v>67</v>
      </c>
      <c r="C26" s="69"/>
      <c r="D26" s="70"/>
      <c r="E26" s="36">
        <v>0</v>
      </c>
      <c r="F26" s="10" t="s">
        <v>3</v>
      </c>
      <c r="G26" s="13"/>
      <c r="H26" s="26"/>
      <c r="I26" s="1"/>
    </row>
    <row r="27" spans="1:9" x14ac:dyDescent="0.25">
      <c r="A27" s="1"/>
      <c r="B27" s="82" t="s">
        <v>68</v>
      </c>
      <c r="C27" s="83"/>
      <c r="D27" s="84"/>
      <c r="E27" s="33">
        <f>SUM(E20:E26)</f>
        <v>-3858977</v>
      </c>
      <c r="F27" s="16" t="s">
        <v>3</v>
      </c>
      <c r="G27" s="14"/>
      <c r="H27" s="27"/>
      <c r="I27" s="1"/>
    </row>
    <row r="28" spans="1:9" x14ac:dyDescent="0.25">
      <c r="A28" s="1"/>
      <c r="B28" s="82" t="s">
        <v>69</v>
      </c>
      <c r="C28" s="83"/>
      <c r="D28" s="84"/>
      <c r="E28" s="33">
        <f>E15+E19+E27</f>
        <v>431106</v>
      </c>
      <c r="F28" s="16" t="s">
        <v>3</v>
      </c>
      <c r="G28" s="31">
        <f>IF(E28&lt;0,0,-E28)</f>
        <v>-431106</v>
      </c>
      <c r="H28" s="16" t="s">
        <v>3</v>
      </c>
      <c r="I28" s="1"/>
    </row>
    <row r="29" spans="1:9" x14ac:dyDescent="0.25">
      <c r="A29" s="1"/>
      <c r="B29" s="74" t="s">
        <v>70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70</v>
      </c>
      <c r="C30" s="83"/>
      <c r="D30" s="84"/>
      <c r="E30" s="37">
        <v>1660262.5820124596</v>
      </c>
      <c r="F30" s="16" t="s">
        <v>3</v>
      </c>
      <c r="G30" s="33">
        <f>-E30</f>
        <v>-1660262.5820124596</v>
      </c>
      <c r="H30" s="16" t="s">
        <v>3</v>
      </c>
      <c r="I30" s="1"/>
    </row>
    <row r="31" spans="1:9" x14ac:dyDescent="0.25">
      <c r="A31" s="1"/>
      <c r="B31" s="93" t="s">
        <v>117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68" t="s">
        <v>118</v>
      </c>
      <c r="C32" s="69"/>
      <c r="D32" s="70"/>
      <c r="E32" s="36">
        <v>11785815</v>
      </c>
      <c r="F32" s="10" t="s">
        <v>3</v>
      </c>
      <c r="G32" s="19"/>
      <c r="H32" s="25"/>
      <c r="I32" s="1"/>
    </row>
    <row r="33" spans="1:9" x14ac:dyDescent="0.25">
      <c r="A33" s="1"/>
      <c r="B33" s="78" t="s">
        <v>71</v>
      </c>
      <c r="C33" s="79"/>
      <c r="D33" s="80"/>
      <c r="E33" s="36">
        <v>0</v>
      </c>
      <c r="F33" s="10" t="s">
        <v>3</v>
      </c>
      <c r="G33" s="13"/>
      <c r="H33" s="26"/>
      <c r="I33" s="1"/>
    </row>
    <row r="34" spans="1:9" ht="43.5" customHeight="1" x14ac:dyDescent="0.25">
      <c r="A34" s="1"/>
      <c r="B34" s="68" t="s">
        <v>72</v>
      </c>
      <c r="C34" s="69"/>
      <c r="D34" s="70"/>
      <c r="E34" s="36">
        <v>43208</v>
      </c>
      <c r="F34" s="10" t="s">
        <v>3</v>
      </c>
      <c r="G34" s="14"/>
      <c r="H34" s="27"/>
      <c r="I34" s="1"/>
    </row>
    <row r="35" spans="1:9" x14ac:dyDescent="0.25">
      <c r="A35" s="1"/>
      <c r="B35" s="82" t="s">
        <v>73</v>
      </c>
      <c r="C35" s="83"/>
      <c r="D35" s="84"/>
      <c r="E35" s="33">
        <f>SUM(E32:E34)</f>
        <v>11829023</v>
      </c>
      <c r="F35" s="16" t="s">
        <v>3</v>
      </c>
      <c r="G35" s="33">
        <f>-E35</f>
        <v>-11829023</v>
      </c>
      <c r="H35" s="16" t="s">
        <v>3</v>
      </c>
      <c r="I35" s="1"/>
    </row>
    <row r="36" spans="1:9" x14ac:dyDescent="0.25">
      <c r="A36" s="1"/>
      <c r="B36" s="74" t="s">
        <v>49</v>
      </c>
      <c r="C36" s="75"/>
      <c r="D36" s="75"/>
      <c r="E36" s="75"/>
      <c r="F36" s="76"/>
      <c r="G36" s="34">
        <f>$G$9+$G$28+$G$30+$G$35</f>
        <v>2816705.4179875404</v>
      </c>
      <c r="H36" s="18" t="s">
        <v>3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124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68" t="s">
        <v>30</v>
      </c>
      <c r="C9" s="69"/>
      <c r="D9" s="70"/>
      <c r="E9" s="32">
        <f>'Fane 3. Grundlag'!G12</f>
        <v>13834872.210560422</v>
      </c>
      <c r="F9" s="7" t="s">
        <v>3</v>
      </c>
      <c r="G9" s="8"/>
      <c r="H9" s="9"/>
      <c r="I9" s="1"/>
    </row>
    <row r="10" spans="1:9" x14ac:dyDescent="0.25">
      <c r="A10" s="1"/>
      <c r="B10" s="81" t="s">
        <v>97</v>
      </c>
      <c r="C10" s="79"/>
      <c r="D10" s="80"/>
      <c r="E10" s="20">
        <f>'Fane 3. Grundlag'!G11</f>
        <v>4046038.2396361195</v>
      </c>
      <c r="F10" s="7" t="s">
        <v>3</v>
      </c>
      <c r="G10" s="11"/>
      <c r="H10" s="12"/>
      <c r="I10" s="1"/>
    </row>
    <row r="11" spans="1:9" x14ac:dyDescent="0.25">
      <c r="A11" s="1"/>
      <c r="B11" s="78" t="s">
        <v>27</v>
      </c>
      <c r="C11" s="79"/>
      <c r="D11" s="80"/>
      <c r="E11" s="20">
        <f>'Fane 4. Generelt eff.krav'!G11</f>
        <v>166410.17750571313</v>
      </c>
      <c r="F11" s="7" t="s">
        <v>3</v>
      </c>
      <c r="G11" s="14"/>
      <c r="H11" s="15"/>
      <c r="I11" s="1"/>
    </row>
    <row r="12" spans="1:9" x14ac:dyDescent="0.25">
      <c r="A12" s="1"/>
      <c r="B12" s="82" t="s">
        <v>42</v>
      </c>
      <c r="C12" s="83"/>
      <c r="D12" s="84"/>
      <c r="E12" s="33">
        <f>$E$9-$E$11</f>
        <v>13668462.033054709</v>
      </c>
      <c r="F12" s="17" t="s">
        <v>3</v>
      </c>
      <c r="G12" s="33">
        <f>E12</f>
        <v>13668462.033054709</v>
      </c>
      <c r="H12" s="17" t="s">
        <v>3</v>
      </c>
      <c r="I12" s="1"/>
    </row>
    <row r="13" spans="1:9" x14ac:dyDescent="0.25">
      <c r="A13" s="1"/>
      <c r="B13" s="74" t="s">
        <v>31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71" t="s">
        <v>105</v>
      </c>
      <c r="C14" s="72"/>
      <c r="D14" s="73"/>
      <c r="E14" s="33">
        <f>'Fane 5. Hist. over el. underdæk'!G13</f>
        <v>0</v>
      </c>
      <c r="F14" s="17" t="s">
        <v>3</v>
      </c>
      <c r="G14" s="33">
        <f>E14</f>
        <v>0</v>
      </c>
      <c r="H14" s="17" t="s">
        <v>3</v>
      </c>
      <c r="I14" s="1"/>
    </row>
    <row r="15" spans="1:9" x14ac:dyDescent="0.25">
      <c r="A15" s="1"/>
      <c r="B15" s="74" t="s">
        <v>28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68" t="s">
        <v>34</v>
      </c>
      <c r="C16" s="69"/>
      <c r="D16" s="70"/>
      <c r="E16" s="20">
        <f>'Fane 7. Korrektion af PL2015'!G11</f>
        <v>-247330</v>
      </c>
      <c r="F16" s="7" t="s">
        <v>3</v>
      </c>
      <c r="G16" s="19"/>
      <c r="H16" s="9"/>
      <c r="I16" s="1"/>
    </row>
    <row r="17" spans="1:9" x14ac:dyDescent="0.25">
      <c r="A17" s="1"/>
      <c r="B17" s="68" t="s">
        <v>35</v>
      </c>
      <c r="C17" s="69"/>
      <c r="D17" s="70"/>
      <c r="E17" s="20">
        <f>'Fane 7. Korrektion af PL2015'!G17</f>
        <v>-19425</v>
      </c>
      <c r="F17" s="7" t="s">
        <v>3</v>
      </c>
      <c r="G17" s="13"/>
      <c r="H17" s="12"/>
      <c r="I17" s="1"/>
    </row>
    <row r="18" spans="1:9" ht="30" customHeight="1" x14ac:dyDescent="0.25">
      <c r="A18" s="1"/>
      <c r="B18" s="68" t="s">
        <v>98</v>
      </c>
      <c r="C18" s="69"/>
      <c r="D18" s="70"/>
      <c r="E18" s="20">
        <f>'Fane 7. Korrektion af PL2015'!G23</f>
        <v>0</v>
      </c>
      <c r="F18" s="7" t="s">
        <v>3</v>
      </c>
      <c r="G18" s="11"/>
      <c r="H18" s="12"/>
      <c r="I18" s="1"/>
    </row>
    <row r="19" spans="1:9" ht="28.5" customHeight="1" x14ac:dyDescent="0.25">
      <c r="A19" s="1"/>
      <c r="B19" s="68" t="s">
        <v>36</v>
      </c>
      <c r="C19" s="69"/>
      <c r="D19" s="70"/>
      <c r="E19" s="20">
        <f>'Fane 7. Korrektion af PL2015'!G30</f>
        <v>116553.86666666664</v>
      </c>
      <c r="F19" s="7" t="s">
        <v>3</v>
      </c>
      <c r="G19" s="14"/>
      <c r="H19" s="15"/>
      <c r="I19" s="1"/>
    </row>
    <row r="20" spans="1:9" x14ac:dyDescent="0.25">
      <c r="A20" s="1"/>
      <c r="B20" s="71" t="s">
        <v>37</v>
      </c>
      <c r="C20" s="72"/>
      <c r="D20" s="73"/>
      <c r="E20" s="33">
        <f>SUM(E16:E19)</f>
        <v>-150201.13333333336</v>
      </c>
      <c r="F20" s="17" t="s">
        <v>3</v>
      </c>
      <c r="G20" s="33">
        <f>E20</f>
        <v>-150201.13333333336</v>
      </c>
      <c r="H20" s="17" t="s">
        <v>3</v>
      </c>
      <c r="I20" s="1"/>
    </row>
    <row r="21" spans="1:9" x14ac:dyDescent="0.25">
      <c r="A21" s="1"/>
      <c r="B21" s="74" t="s">
        <v>32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71" t="s">
        <v>33</v>
      </c>
      <c r="C22" s="72"/>
      <c r="D22" s="73"/>
      <c r="E22" s="33">
        <f>'Fane 8. Kontrol af PL2015'!G36</f>
        <v>2816705.4179875404</v>
      </c>
      <c r="F22" s="17" t="s">
        <v>3</v>
      </c>
      <c r="G22" s="33">
        <f>E22</f>
        <v>2816705.4179875404</v>
      </c>
      <c r="H22" s="17" t="s">
        <v>3</v>
      </c>
      <c r="I22" s="1"/>
    </row>
    <row r="23" spans="1:9" x14ac:dyDescent="0.25">
      <c r="A23" s="1"/>
      <c r="B23" s="74" t="s">
        <v>38</v>
      </c>
      <c r="C23" s="75"/>
      <c r="D23" s="75"/>
      <c r="E23" s="75"/>
      <c r="F23" s="76"/>
      <c r="G23" s="34">
        <f>G12+G14+G20+G22</f>
        <v>16334966.317708917</v>
      </c>
      <c r="H23" s="18" t="s">
        <v>3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68" t="s">
        <v>39</v>
      </c>
      <c r="C9" s="69"/>
      <c r="D9" s="70"/>
      <c r="E9" s="35">
        <f>'Fane 2.1. Økonomisk ramme 2017'!$E$9-'Fane 2.1. Økonomisk ramme 2017'!$E$11</f>
        <v>13668462.033054709</v>
      </c>
      <c r="F9" s="7" t="s">
        <v>3</v>
      </c>
      <c r="G9" s="8"/>
      <c r="H9" s="9"/>
      <c r="I9" s="1"/>
    </row>
    <row r="10" spans="1:9" x14ac:dyDescent="0.25">
      <c r="A10" s="1"/>
      <c r="B10" s="81" t="s">
        <v>97</v>
      </c>
      <c r="C10" s="79"/>
      <c r="D10" s="80"/>
      <c r="E10" s="36">
        <f>'Fane 2.1. Økonomisk ramme 2017'!$E$10</f>
        <v>4046038.2396361195</v>
      </c>
      <c r="F10" s="7" t="s">
        <v>3</v>
      </c>
      <c r="G10" s="11"/>
      <c r="H10" s="12"/>
      <c r="I10" s="1"/>
    </row>
    <row r="11" spans="1:9" x14ac:dyDescent="0.25">
      <c r="A11" s="1"/>
      <c r="B11" s="78" t="s">
        <v>40</v>
      </c>
      <c r="C11" s="79"/>
      <c r="D11" s="80"/>
      <c r="E11" s="36">
        <f>$E$9*0.0127</f>
        <v>173589.46781979481</v>
      </c>
      <c r="F11" s="7" t="s">
        <v>3</v>
      </c>
      <c r="G11" s="13"/>
      <c r="H11" s="12"/>
      <c r="I11" s="1"/>
    </row>
    <row r="12" spans="1:9" x14ac:dyDescent="0.25">
      <c r="A12" s="1"/>
      <c r="B12" s="28" t="s">
        <v>27</v>
      </c>
      <c r="C12" s="29"/>
      <c r="D12" s="30"/>
      <c r="E12" s="36">
        <f>($E$9-$E$10)*1.0127*0.017</f>
        <v>165658.68578511511</v>
      </c>
      <c r="F12" s="7" t="s">
        <v>3</v>
      </c>
      <c r="G12" s="14"/>
      <c r="H12" s="15"/>
      <c r="I12" s="1"/>
    </row>
    <row r="13" spans="1:9" x14ac:dyDescent="0.25">
      <c r="A13" s="1"/>
      <c r="B13" s="82" t="s">
        <v>42</v>
      </c>
      <c r="C13" s="83"/>
      <c r="D13" s="84"/>
      <c r="E13" s="33">
        <f>$E$9+$E$11-$E$12</f>
        <v>13676392.81508939</v>
      </c>
      <c r="F13" s="17" t="s">
        <v>3</v>
      </c>
      <c r="G13" s="33">
        <f>E13</f>
        <v>13676392.81508939</v>
      </c>
      <c r="H13" s="17" t="s">
        <v>3</v>
      </c>
      <c r="I13" s="1"/>
    </row>
    <row r="14" spans="1:9" x14ac:dyDescent="0.25">
      <c r="A14" s="1"/>
      <c r="B14" s="74" t="s">
        <v>31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1" t="s">
        <v>105</v>
      </c>
      <c r="C15" s="72"/>
      <c r="D15" s="73"/>
      <c r="E15" s="37">
        <f>IF('Fane 5. Hist. over el. underdæk'!$G$12&gt;1,'Fane 5. Hist. over el. underdæk'!$G$13,0)</f>
        <v>0</v>
      </c>
      <c r="F15" s="17" t="s">
        <v>3</v>
      </c>
      <c r="G15" s="33">
        <f>E15</f>
        <v>0</v>
      </c>
      <c r="H15" s="17" t="s">
        <v>3</v>
      </c>
      <c r="I15" s="1"/>
    </row>
    <row r="16" spans="1:9" x14ac:dyDescent="0.25">
      <c r="A16" s="1"/>
      <c r="B16" s="74" t="s">
        <v>41</v>
      </c>
      <c r="C16" s="75"/>
      <c r="D16" s="75"/>
      <c r="E16" s="75"/>
      <c r="F16" s="76"/>
      <c r="G16" s="34">
        <f>G13+G15</f>
        <v>13676392.81508939</v>
      </c>
      <c r="H16" s="18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68" t="s">
        <v>43</v>
      </c>
      <c r="C9" s="69"/>
      <c r="D9" s="70"/>
      <c r="E9" s="35">
        <f>'Fane 2.2. Økonomisk ramme 2018'!$E$9*1.0127-'Fane 2.2. Økonomisk ramme 2018'!$E$12</f>
        <v>13676392.815089388</v>
      </c>
      <c r="F9" s="7" t="s">
        <v>3</v>
      </c>
      <c r="G9" s="8"/>
      <c r="H9" s="9"/>
      <c r="I9" s="1"/>
    </row>
    <row r="10" spans="1:9" x14ac:dyDescent="0.25">
      <c r="A10" s="1"/>
      <c r="B10" s="81" t="s">
        <v>97</v>
      </c>
      <c r="C10" s="79"/>
      <c r="D10" s="80"/>
      <c r="E10" s="36">
        <f>'Fane 2.2. Økonomisk ramme 2018'!$E$10*1.0127</f>
        <v>4097422.9252794981</v>
      </c>
      <c r="F10" s="7" t="s">
        <v>3</v>
      </c>
      <c r="G10" s="11"/>
      <c r="H10" s="12"/>
      <c r="I10" s="1"/>
    </row>
    <row r="11" spans="1:9" x14ac:dyDescent="0.25">
      <c r="A11" s="1"/>
      <c r="B11" s="78" t="s">
        <v>40</v>
      </c>
      <c r="C11" s="79"/>
      <c r="D11" s="80"/>
      <c r="E11" s="36">
        <f>$E$9*0.0127</f>
        <v>173690.18875163523</v>
      </c>
      <c r="F11" s="7" t="s">
        <v>3</v>
      </c>
      <c r="G11" s="13"/>
      <c r="H11" s="12"/>
      <c r="I11" s="1"/>
    </row>
    <row r="12" spans="1:9" x14ac:dyDescent="0.25">
      <c r="A12" s="1"/>
      <c r="B12" s="28" t="s">
        <v>27</v>
      </c>
      <c r="C12" s="29"/>
      <c r="D12" s="30"/>
      <c r="E12" s="36">
        <f>($E$9-$E$10)*1.0127*0.017</f>
        <v>164910.58772597808</v>
      </c>
      <c r="F12" s="7" t="s">
        <v>3</v>
      </c>
      <c r="G12" s="14"/>
      <c r="H12" s="15"/>
      <c r="I12" s="1"/>
    </row>
    <row r="13" spans="1:9" x14ac:dyDescent="0.25">
      <c r="A13" s="1"/>
      <c r="B13" s="82" t="s">
        <v>42</v>
      </c>
      <c r="C13" s="83"/>
      <c r="D13" s="84"/>
      <c r="E13" s="33">
        <f>$E$9+$E$11-$E$12</f>
        <v>13685172.416115046</v>
      </c>
      <c r="F13" s="17" t="s">
        <v>3</v>
      </c>
      <c r="G13" s="33">
        <f>E13</f>
        <v>13685172.416115046</v>
      </c>
      <c r="H13" s="17" t="s">
        <v>3</v>
      </c>
      <c r="I13" s="1"/>
    </row>
    <row r="14" spans="1:9" x14ac:dyDescent="0.25">
      <c r="A14" s="1"/>
      <c r="B14" s="74" t="s">
        <v>31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1" t="s">
        <v>105</v>
      </c>
      <c r="C15" s="72"/>
      <c r="D15" s="73"/>
      <c r="E15" s="37">
        <f>IF('Fane 5. Hist. over el. underdæk'!$G$12&gt;2,'Fane 5. Hist. over el. underdæk'!$G$13,0)</f>
        <v>0</v>
      </c>
      <c r="F15" s="17" t="s">
        <v>3</v>
      </c>
      <c r="G15" s="33">
        <f>E15</f>
        <v>0</v>
      </c>
      <c r="H15" s="17" t="s">
        <v>3</v>
      </c>
      <c r="I15" s="1"/>
    </row>
    <row r="16" spans="1:9" x14ac:dyDescent="0.25">
      <c r="A16" s="1"/>
      <c r="B16" s="74" t="s">
        <v>44</v>
      </c>
      <c r="C16" s="75"/>
      <c r="D16" s="75"/>
      <c r="E16" s="75"/>
      <c r="F16" s="76"/>
      <c r="G16" s="34">
        <f>G13+G15</f>
        <v>13685172.416115046</v>
      </c>
      <c r="H16" s="18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68" t="s">
        <v>45</v>
      </c>
      <c r="C9" s="69"/>
      <c r="D9" s="70"/>
      <c r="E9" s="35">
        <f>'Fane 2.3. Økonomisk ramme 2019'!$E$9*1.0127-'Fane 2.3. Økonomisk ramme 2019'!$E$12</f>
        <v>13685172.416115044</v>
      </c>
      <c r="F9" s="7" t="s">
        <v>3</v>
      </c>
      <c r="G9" s="8"/>
      <c r="H9" s="9"/>
      <c r="I9" s="1"/>
    </row>
    <row r="10" spans="1:9" x14ac:dyDescent="0.25">
      <c r="A10" s="1"/>
      <c r="B10" s="81" t="s">
        <v>97</v>
      </c>
      <c r="C10" s="79"/>
      <c r="D10" s="80"/>
      <c r="E10" s="36">
        <f>'Fane 2.3. Økonomisk ramme 2019'!$E$10*1.0127</f>
        <v>4149460.1964305476</v>
      </c>
      <c r="F10" s="7" t="s">
        <v>3</v>
      </c>
      <c r="G10" s="11"/>
      <c r="H10" s="12"/>
      <c r="I10" s="1"/>
    </row>
    <row r="11" spans="1:9" x14ac:dyDescent="0.25">
      <c r="A11" s="1"/>
      <c r="B11" s="78" t="s">
        <v>40</v>
      </c>
      <c r="C11" s="79"/>
      <c r="D11" s="80"/>
      <c r="E11" s="36">
        <f>$E$9*0.0127</f>
        <v>173801.68968466105</v>
      </c>
      <c r="F11" s="7" t="s">
        <v>3</v>
      </c>
      <c r="G11" s="13"/>
      <c r="H11" s="12"/>
      <c r="I11" s="1"/>
    </row>
    <row r="12" spans="1:9" x14ac:dyDescent="0.25">
      <c r="A12" s="1"/>
      <c r="B12" s="28" t="s">
        <v>27</v>
      </c>
      <c r="C12" s="29"/>
      <c r="D12" s="30"/>
      <c r="E12" s="36">
        <f>($E$9-$E$10)*1.0127*0.017</f>
        <v>164165.86800286631</v>
      </c>
      <c r="F12" s="7" t="s">
        <v>3</v>
      </c>
      <c r="G12" s="14"/>
      <c r="H12" s="15"/>
      <c r="I12" s="1"/>
    </row>
    <row r="13" spans="1:9" x14ac:dyDescent="0.25">
      <c r="A13" s="1"/>
      <c r="B13" s="82" t="s">
        <v>42</v>
      </c>
      <c r="C13" s="83"/>
      <c r="D13" s="84"/>
      <c r="E13" s="33">
        <f>$E$9+$E$11-$E$12</f>
        <v>13694808.237796839</v>
      </c>
      <c r="F13" s="17" t="s">
        <v>3</v>
      </c>
      <c r="G13" s="33">
        <f>E13</f>
        <v>13694808.237796839</v>
      </c>
      <c r="H13" s="17" t="s">
        <v>3</v>
      </c>
      <c r="I13" s="1"/>
    </row>
    <row r="14" spans="1:9" x14ac:dyDescent="0.25">
      <c r="A14" s="1"/>
      <c r="B14" s="74" t="s">
        <v>31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1" t="s">
        <v>105</v>
      </c>
      <c r="C15" s="72"/>
      <c r="D15" s="73"/>
      <c r="E15" s="37">
        <f>IF('Fane 5. Hist. over el. underdæk'!$G$12&gt;3,'Fane 5. Hist. over el. underdæk'!$G$13,0)</f>
        <v>0</v>
      </c>
      <c r="F15" s="17" t="s">
        <v>3</v>
      </c>
      <c r="G15" s="33">
        <f>E15</f>
        <v>0</v>
      </c>
      <c r="H15" s="17" t="s">
        <v>3</v>
      </c>
      <c r="I15" s="1"/>
    </row>
    <row r="16" spans="1:9" x14ac:dyDescent="0.25">
      <c r="A16" s="1"/>
      <c r="B16" s="74" t="s">
        <v>46</v>
      </c>
      <c r="C16" s="75"/>
      <c r="D16" s="75"/>
      <c r="E16" s="75"/>
      <c r="F16" s="76"/>
      <c r="G16" s="34">
        <f>G13+G15</f>
        <v>13694808.237796839</v>
      </c>
      <c r="H16" s="18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99</v>
      </c>
      <c r="C9" s="79"/>
      <c r="D9" s="79"/>
      <c r="E9" s="79"/>
      <c r="F9" s="80"/>
      <c r="G9" s="36">
        <v>5577300.0230049537</v>
      </c>
      <c r="H9" s="10" t="s">
        <v>3</v>
      </c>
      <c r="I9" s="1"/>
    </row>
    <row r="10" spans="1:9" x14ac:dyDescent="0.25">
      <c r="A10" s="1"/>
      <c r="B10" s="78" t="s">
        <v>100</v>
      </c>
      <c r="C10" s="79"/>
      <c r="D10" s="79"/>
      <c r="E10" s="79"/>
      <c r="F10" s="80"/>
      <c r="G10" s="36">
        <v>4211533.9479193492</v>
      </c>
      <c r="H10" s="10" t="s">
        <v>3</v>
      </c>
      <c r="I10" s="1"/>
    </row>
    <row r="11" spans="1:9" x14ac:dyDescent="0.25">
      <c r="A11" s="1"/>
      <c r="B11" s="78" t="s">
        <v>101</v>
      </c>
      <c r="C11" s="79"/>
      <c r="D11" s="79"/>
      <c r="E11" s="79"/>
      <c r="F11" s="80"/>
      <c r="G11" s="36">
        <v>4046038.2396361195</v>
      </c>
      <c r="H11" s="10" t="s">
        <v>3</v>
      </c>
      <c r="I11" s="1"/>
    </row>
    <row r="12" spans="1:9" x14ac:dyDescent="0.25">
      <c r="A12" s="1"/>
      <c r="B12" s="74" t="s">
        <v>47</v>
      </c>
      <c r="C12" s="75"/>
      <c r="D12" s="75"/>
      <c r="E12" s="75"/>
      <c r="F12" s="76"/>
      <c r="G12" s="34">
        <f>SUM(G9:G11)</f>
        <v>13834872.210560422</v>
      </c>
      <c r="H12" s="18" t="s">
        <v>3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103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107</v>
      </c>
      <c r="C9" s="79"/>
      <c r="D9" s="79"/>
      <c r="E9" s="79"/>
      <c r="F9" s="80"/>
      <c r="G9" s="20">
        <f>'Fane 3. Grundlag'!G12-'Fane 3. Grundlag'!G11</f>
        <v>9788833.9709243029</v>
      </c>
      <c r="H9" s="10" t="s">
        <v>3</v>
      </c>
      <c r="I9" s="1"/>
    </row>
    <row r="10" spans="1:9" x14ac:dyDescent="0.25">
      <c r="A10" s="1"/>
      <c r="B10" s="78" t="s">
        <v>27</v>
      </c>
      <c r="C10" s="79"/>
      <c r="D10" s="79"/>
      <c r="E10" s="79"/>
      <c r="F10" s="80"/>
      <c r="G10" s="43">
        <f>1.7</f>
        <v>1.7</v>
      </c>
      <c r="H10" s="10" t="s">
        <v>74</v>
      </c>
      <c r="I10" s="1"/>
    </row>
    <row r="11" spans="1:9" x14ac:dyDescent="0.25">
      <c r="A11" s="1"/>
      <c r="B11" s="74" t="s">
        <v>27</v>
      </c>
      <c r="C11" s="75"/>
      <c r="D11" s="75"/>
      <c r="E11" s="75"/>
      <c r="F11" s="76"/>
      <c r="G11" s="34">
        <f>$G$9*$G$10/100</f>
        <v>166410.17750571313</v>
      </c>
      <c r="H11" s="18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76</v>
      </c>
      <c r="C9" s="79"/>
      <c r="D9" s="79"/>
      <c r="E9" s="79"/>
      <c r="F9" s="80"/>
      <c r="G9" s="36">
        <v>2189858</v>
      </c>
      <c r="H9" s="10" t="s">
        <v>3</v>
      </c>
      <c r="I9" s="1"/>
    </row>
    <row r="10" spans="1:9" x14ac:dyDescent="0.25">
      <c r="A10" s="1"/>
      <c r="B10" s="78" t="s">
        <v>77</v>
      </c>
      <c r="C10" s="79"/>
      <c r="D10" s="79"/>
      <c r="E10" s="79"/>
      <c r="F10" s="80"/>
      <c r="G10" s="36">
        <v>2189858</v>
      </c>
      <c r="H10" s="10" t="s">
        <v>3</v>
      </c>
      <c r="I10" s="1"/>
    </row>
    <row r="11" spans="1:9" x14ac:dyDescent="0.25">
      <c r="A11" s="1"/>
      <c r="B11" s="85" t="s">
        <v>91</v>
      </c>
      <c r="C11" s="86"/>
      <c r="D11" s="86"/>
      <c r="E11" s="86"/>
      <c r="F11" s="87"/>
      <c r="G11" s="38">
        <v>0</v>
      </c>
      <c r="H11" s="23" t="s">
        <v>3</v>
      </c>
      <c r="I11" s="1"/>
    </row>
    <row r="12" spans="1:9" x14ac:dyDescent="0.25">
      <c r="A12" s="1"/>
      <c r="B12" s="78" t="s">
        <v>78</v>
      </c>
      <c r="C12" s="79"/>
      <c r="D12" s="79"/>
      <c r="E12" s="79"/>
      <c r="F12" s="80"/>
      <c r="G12" s="36">
        <v>0</v>
      </c>
      <c r="H12" s="10" t="s">
        <v>3</v>
      </c>
      <c r="I12" s="1"/>
    </row>
    <row r="13" spans="1:9" x14ac:dyDescent="0.25">
      <c r="A13" s="1"/>
      <c r="B13" s="74" t="s">
        <v>75</v>
      </c>
      <c r="C13" s="75"/>
      <c r="D13" s="75"/>
      <c r="E13" s="75"/>
      <c r="F13" s="76"/>
      <c r="G13" s="34">
        <v>0</v>
      </c>
      <c r="H13" s="18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121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5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0" t="s">
        <v>0</v>
      </c>
      <c r="C9" s="41" t="s">
        <v>116</v>
      </c>
      <c r="D9" s="24" t="s">
        <v>1</v>
      </c>
      <c r="E9" s="24" t="s">
        <v>79</v>
      </c>
      <c r="F9" s="88" t="s">
        <v>2</v>
      </c>
      <c r="G9" s="88"/>
      <c r="H9" s="1"/>
    </row>
    <row r="10" spans="1:8" x14ac:dyDescent="0.25">
      <c r="A10" s="1"/>
      <c r="B10" s="42" t="s">
        <v>109</v>
      </c>
      <c r="C10" s="39">
        <v>2015</v>
      </c>
      <c r="D10" s="39">
        <v>50</v>
      </c>
      <c r="E10" s="36">
        <v>117587</v>
      </c>
      <c r="F10" s="20">
        <f t="shared" ref="F10:F17" si="0">E10/D10</f>
        <v>2351.7399999999998</v>
      </c>
      <c r="G10" s="10" t="s">
        <v>3</v>
      </c>
      <c r="H10" s="1"/>
    </row>
    <row r="11" spans="1:8" ht="26.25" x14ac:dyDescent="0.25">
      <c r="A11" s="1"/>
      <c r="B11" s="42" t="s">
        <v>110</v>
      </c>
      <c r="C11" s="39">
        <v>2015</v>
      </c>
      <c r="D11" s="39">
        <v>25</v>
      </c>
      <c r="E11" s="36">
        <v>339712</v>
      </c>
      <c r="F11" s="20">
        <f t="shared" si="0"/>
        <v>13588.48</v>
      </c>
      <c r="G11" s="10" t="s">
        <v>3</v>
      </c>
      <c r="H11" s="1"/>
    </row>
    <row r="12" spans="1:8" x14ac:dyDescent="0.25">
      <c r="A12" s="1"/>
      <c r="B12" s="42" t="s">
        <v>111</v>
      </c>
      <c r="C12" s="39">
        <v>2015</v>
      </c>
      <c r="D12" s="39">
        <v>75</v>
      </c>
      <c r="E12" s="36">
        <v>2007251</v>
      </c>
      <c r="F12" s="20">
        <f t="shared" si="0"/>
        <v>26763.346666666668</v>
      </c>
      <c r="G12" s="10" t="s">
        <v>3</v>
      </c>
      <c r="H12" s="1"/>
    </row>
    <row r="13" spans="1:8" x14ac:dyDescent="0.25">
      <c r="A13" s="1"/>
      <c r="B13" s="42" t="s">
        <v>111</v>
      </c>
      <c r="C13" s="39">
        <v>2015</v>
      </c>
      <c r="D13" s="39">
        <v>75</v>
      </c>
      <c r="E13" s="36">
        <v>1545100</v>
      </c>
      <c r="F13" s="20">
        <f t="shared" si="0"/>
        <v>20601.333333333332</v>
      </c>
      <c r="G13" s="10" t="s">
        <v>3</v>
      </c>
      <c r="H13" s="1"/>
    </row>
    <row r="14" spans="1:8" x14ac:dyDescent="0.25">
      <c r="A14" s="1"/>
      <c r="B14" s="42" t="s">
        <v>112</v>
      </c>
      <c r="C14" s="39">
        <v>2015</v>
      </c>
      <c r="D14" s="39">
        <v>75</v>
      </c>
      <c r="E14" s="36">
        <v>270880</v>
      </c>
      <c r="F14" s="20">
        <f t="shared" si="0"/>
        <v>3611.7333333333331</v>
      </c>
      <c r="G14" s="10" t="s">
        <v>3</v>
      </c>
      <c r="H14" s="1"/>
    </row>
    <row r="15" spans="1:8" x14ac:dyDescent="0.25">
      <c r="A15" s="1"/>
      <c r="B15" s="42" t="s">
        <v>113</v>
      </c>
      <c r="C15" s="39">
        <v>2015</v>
      </c>
      <c r="D15" s="39">
        <v>5</v>
      </c>
      <c r="E15" s="36">
        <v>309587</v>
      </c>
      <c r="F15" s="20">
        <f t="shared" si="0"/>
        <v>61917.4</v>
      </c>
      <c r="G15" s="10" t="s">
        <v>3</v>
      </c>
      <c r="H15" s="1"/>
    </row>
    <row r="16" spans="1:8" ht="26.25" x14ac:dyDescent="0.25">
      <c r="A16" s="1"/>
      <c r="B16" s="42" t="s">
        <v>114</v>
      </c>
      <c r="C16" s="39">
        <v>2015</v>
      </c>
      <c r="D16" s="39">
        <v>10</v>
      </c>
      <c r="E16" s="36">
        <v>279706</v>
      </c>
      <c r="F16" s="20">
        <f t="shared" si="0"/>
        <v>27970.6</v>
      </c>
      <c r="G16" s="10" t="s">
        <v>3</v>
      </c>
      <c r="H16" s="1"/>
    </row>
    <row r="17" spans="1:8" x14ac:dyDescent="0.25">
      <c r="A17" s="1"/>
      <c r="B17" s="42" t="s">
        <v>115</v>
      </c>
      <c r="C17" s="39">
        <v>2015</v>
      </c>
      <c r="D17" s="39">
        <v>5</v>
      </c>
      <c r="E17" s="36">
        <v>21944</v>
      </c>
      <c r="F17" s="20">
        <f t="shared" si="0"/>
        <v>4388.8</v>
      </c>
      <c r="G17" s="10" t="s">
        <v>3</v>
      </c>
      <c r="H17" s="1"/>
    </row>
    <row r="18" spans="1:8" x14ac:dyDescent="0.25">
      <c r="A18" s="1"/>
      <c r="B18" s="74" t="s">
        <v>4</v>
      </c>
      <c r="C18" s="75"/>
      <c r="D18" s="75"/>
      <c r="E18" s="76"/>
      <c r="F18" s="34">
        <f>SUM(F10:F17)</f>
        <v>161193.43333333332</v>
      </c>
      <c r="G18" s="18" t="s">
        <v>3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Nomi Schmidt Lauridsen</cp:lastModifiedBy>
  <cp:lastPrinted>2016-06-14T12:57:30Z</cp:lastPrinted>
  <dcterms:created xsi:type="dcterms:W3CDTF">2016-06-02T08:51:18Z</dcterms:created>
  <dcterms:modified xsi:type="dcterms:W3CDTF">2016-11-28T14:35:46Z</dcterms:modified>
</cp:coreProperties>
</file>