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N2" i="18" l="1"/>
  <c r="C8" i="27" l="1"/>
  <c r="C9" i="27"/>
  <c r="E2" i="15" l="1"/>
  <c r="G3" i="16" l="1"/>
  <c r="H3" i="16"/>
  <c r="I3" i="16"/>
  <c r="F3" i="16"/>
  <c r="F3" i="17" l="1"/>
  <c r="G3" i="17"/>
  <c r="G4" i="16" l="1"/>
  <c r="H4" i="16"/>
  <c r="I4" i="16"/>
  <c r="F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I6" i="16"/>
  <c r="G5" i="16"/>
  <c r="J3" i="24"/>
  <c r="M3" i="24" s="1"/>
  <c r="F5" i="16"/>
  <c r="G6" i="16"/>
  <c r="H5" i="16"/>
  <c r="L3" i="16" s="1"/>
  <c r="F6" i="16"/>
  <c r="H6" i="16"/>
  <c r="I5" i="16"/>
  <c r="M3" i="16" s="1"/>
  <c r="J3" i="16" l="1"/>
  <c r="K3" i="16"/>
  <c r="B9" i="12"/>
  <c r="B10" i="12" s="1"/>
  <c r="H3" i="17"/>
  <c r="B4" i="12" s="1"/>
  <c r="I2" i="15"/>
  <c r="K2" i="15" s="1"/>
  <c r="B2" i="12" s="1"/>
  <c r="N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<sst xmlns="http://schemas.openxmlformats.org/spreadsheetml/2006/main" count="119" uniqueCount="79">
  <si>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</si>
  <si>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</si>
  <si>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</si>
  <si>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</si>
  <si>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</si>
  <si>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</si>
  <si>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</si>
  <si>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</si>
  <si>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</si>
  <si>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</si>
  <si>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</si>
  <si>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</si>
  <si>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</si>
  <si>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</si>
  <si>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</si>
  <si>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</si>
  <si>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</si>
  <si>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</si>
  <si>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</si>
  <si>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</si>
  <si>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</si>
  <si>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</si>
  <si>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</si>
  <si>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>SMS-service</t>
  </si>
  <si>
    <t>Udtagning af vandprøver</t>
  </si>
  <si>
    <t>Fjernaflæsning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</si>
  <si>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</si>
  <si>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</si>
  <si>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</si>
  <si>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</si>
  <si>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</si>
  <si>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</si>
  <si>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</si>
  <si>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</si>
  <si>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</si>
  <si>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</si>
  <si>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</si>
  <si>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</si>
  <si>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</si>
  <si>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</si>
  <si>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</si>
  <si>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Skattebetalinger (V)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</si>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</sst>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6" fontId="3" fillId="0" borderId="28" xfId="27368" applyNumberFormat="1" applyFont="1" applyBorder="1"/>
    <xf numFmtId="0" fontId="0" fillId="0" borderId="28" xfId="0" applyBorder="1"/>
    <xf numFmtId="0" fontId="0" fillId="0" borderId="28" xfId="0" applyFont="1" applyFill="1" applyBorder="1" applyAlignment="1">
      <alignment wrapText="1"/>
    </xf>
    <xf numFmtId="0" fontId="0" fillId="0" borderId="28" xfId="0" applyFont="1" applyBorder="1" applyAlignment="1">
      <alignment wrapText="1"/>
    </xf>
    <xf numFmtId="166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0" fillId="0" borderId="0" xfId="27368" applyNumberFormat="1" applyFont="1" applyFill="1" applyBorder="1" applyAlignment="1">
      <alignment wrapText="1"/>
    </xf>
    <xf numFmtId="166" fontId="0" fillId="0" borderId="0" xfId="27368" applyNumberFormat="1" applyFont="1" applyBorder="1" applyAlignment="1">
      <alignment wrapText="1"/>
    </xf>
    <xf numFmtId="166" fontId="3" fillId="0" borderId="26" xfId="0" applyNumberFormat="1" applyFont="1" applyFill="1" applyBorder="1" applyAlignment="1">
      <alignment horizontal="left"/>
    </xf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6">
        <f>'Faktiske driftsomkostninger'!K2</f>
        <v>2728679.4169526622</v>
      </c>
      <c r="C2" t="s">
        <v>11</v>
      </c>
    </row>
    <row r="3" spans="1:3" s="2" customFormat="1" x14ac:dyDescent="0.25">
      <c r="A3" s="5" t="s">
        <v>8</v>
      </c>
      <c r="B3" s="37">
        <f>'Miljø- og servicemål'!N3</f>
        <v>85504.039599999989</v>
      </c>
      <c r="C3" t="s">
        <v>11</v>
      </c>
    </row>
    <row r="4" spans="1:3" s="2" customFormat="1" x14ac:dyDescent="0.25">
      <c r="A4" s="5" t="s">
        <v>9</v>
      </c>
      <c r="B4" s="37">
        <f>'Revisorerklæringer mm.'!H3</f>
        <v>54171.566289333328</v>
      </c>
      <c r="C4" t="s">
        <v>11</v>
      </c>
    </row>
    <row r="5" spans="1:3" s="26" customFormat="1" x14ac:dyDescent="0.25">
      <c r="A5" s="3" t="s">
        <v>12</v>
      </c>
      <c r="B5" s="49">
        <f>SUM(B2:B4)</f>
        <v>2868355.0228419951</v>
      </c>
      <c r="C5" s="64" t="s">
        <v>11</v>
      </c>
    </row>
    <row r="6" spans="1:3" x14ac:dyDescent="0.25">
      <c r="A6" s="48" t="s">
        <v>0</v>
      </c>
      <c r="B6" s="39">
        <f>Investeringer!E3</f>
        <v>2373641.6912161843</v>
      </c>
      <c r="C6" s="23" t="s">
        <v>11</v>
      </c>
    </row>
    <row r="7" spans="1:3" x14ac:dyDescent="0.25">
      <c r="A7" s="4" t="s">
        <v>1</v>
      </c>
      <c r="B7" s="36">
        <f>Investeringer!F3</f>
        <v>528207.03024942509</v>
      </c>
      <c r="C7" t="s">
        <v>11</v>
      </c>
    </row>
    <row r="8" spans="1:3" x14ac:dyDescent="0.25">
      <c r="A8" s="4" t="s">
        <v>2</v>
      </c>
      <c r="B8" s="36">
        <f>Investeringer!G3</f>
        <v>177333.33333333331</v>
      </c>
      <c r="C8" t="s">
        <v>11</v>
      </c>
    </row>
    <row r="9" spans="1:3" s="22" customFormat="1" x14ac:dyDescent="0.25">
      <c r="A9" s="4" t="s">
        <v>4</v>
      </c>
      <c r="B9" s="36">
        <f>'Finansielle omkostninger'!M3</f>
        <v>39730.587284000001</v>
      </c>
      <c r="C9" t="s">
        <v>11</v>
      </c>
    </row>
    <row r="10" spans="1:3" s="22" customFormat="1" x14ac:dyDescent="0.25">
      <c r="A10" s="3" t="s">
        <v>51</v>
      </c>
      <c r="B10" s="49">
        <f>SUM(B6:B9)</f>
        <v>3118912.6420829431</v>
      </c>
      <c r="C10" s="64" t="s">
        <v>11</v>
      </c>
    </row>
    <row r="11" spans="1:3" s="22" customFormat="1" x14ac:dyDescent="0.25">
      <c r="A11" s="4" t="s">
        <v>10</v>
      </c>
      <c r="B11" s="36">
        <f>'Ikke-påvirkelige omkostninger'!N2</f>
        <v>2693504</v>
      </c>
      <c r="C11" t="s">
        <v>11</v>
      </c>
    </row>
    <row r="12" spans="1:3" s="22" customFormat="1" x14ac:dyDescent="0.25">
      <c r="A12" s="3" t="s">
        <v>73</v>
      </c>
      <c r="B12" s="49">
        <f>SUM(B11:B11)</f>
        <v>2693504</v>
      </c>
      <c r="C12" s="64" t="s">
        <v>11</v>
      </c>
    </row>
    <row r="13" spans="1:3" x14ac:dyDescent="0.25">
      <c r="A13" s="1"/>
      <c r="B13" s="36"/>
    </row>
    <row r="14" spans="1:3" ht="15.75" thickBot="1" x14ac:dyDescent="0.3">
      <c r="A14" s="27" t="s">
        <v>62</v>
      </c>
      <c r="B14" s="38">
        <f>SUM(B5,B10,B12)</f>
        <v>8680771.6649249382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55</v>
      </c>
      <c r="B16" s="38">
        <f>B14*Pristalsregulering!C8*Pristalsregulering!C9</f>
        <v>8757611.5987022202</v>
      </c>
      <c r="C16" s="27" t="s">
        <v>3</v>
      </c>
    </row>
    <row r="17" spans="2:2" ht="15.75" hidden="1" thickTop="1" x14ac:dyDescent="0.25">
      <c r="B17" s="63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6" customWidth="1"/>
    <col min="4" max="4" width="22.7109375" style="36" customWidth="1"/>
    <col min="5" max="9" width="15.7109375" style="36" customWidth="1"/>
    <col min="10" max="10" width="29.85546875" style="36" customWidth="1"/>
    <col min="11" max="11" width="44.140625" style="36" customWidth="1"/>
    <col min="12" max="12" width="0" hidden="1" customWidth="1"/>
    <col min="13" max="16384" width="9.140625" hidden="1"/>
  </cols>
  <sheetData>
    <row r="1" spans="1:11" s="62" customFormat="1" ht="60.75" thickBot="1" x14ac:dyDescent="0.3">
      <c r="A1" s="60" t="s">
        <v>13</v>
      </c>
      <c r="B1" s="61" t="s">
        <v>14</v>
      </c>
      <c r="C1" s="61" t="s">
        <v>63</v>
      </c>
      <c r="D1" s="61" t="s">
        <v>64</v>
      </c>
      <c r="E1" s="61" t="s">
        <v>56</v>
      </c>
      <c r="F1" s="53" t="s">
        <v>65</v>
      </c>
      <c r="G1" s="53" t="s">
        <v>74</v>
      </c>
      <c r="H1" s="53" t="s">
        <v>66</v>
      </c>
      <c r="I1" s="53" t="s">
        <v>52</v>
      </c>
      <c r="J1" s="11" t="s">
        <v>67</v>
      </c>
      <c r="K1" s="11" t="s">
        <v>68</v>
      </c>
    </row>
    <row r="2" spans="1:11" s="23" customFormat="1" ht="15.75" thickTop="1" x14ac:dyDescent="0.25">
      <c r="A2" s="28">
        <v>2015</v>
      </c>
      <c r="B2" s="50">
        <v>2780708</v>
      </c>
      <c r="C2" s="50">
        <v>22538</v>
      </c>
      <c r="D2" s="50">
        <f>B2+C2</f>
        <v>2803246</v>
      </c>
      <c r="E2" s="51">
        <f>D2</f>
        <v>2803246</v>
      </c>
      <c r="F2" s="50">
        <v>2728679.4169526622</v>
      </c>
      <c r="G2" s="50">
        <v>0</v>
      </c>
      <c r="H2" s="50">
        <f>F2-G2</f>
        <v>2728679.4169526622</v>
      </c>
      <c r="I2" s="50">
        <f>AVERAGEIF(E2:E4,"&lt;&gt;0")</f>
        <v>2775090.4063013331</v>
      </c>
      <c r="J2" s="50">
        <v>2109524.5663415086</v>
      </c>
      <c r="K2" s="40">
        <f>IF(H2&gt;I2,IF(I2&gt;J2,I2,J2),H2)</f>
        <v>2728679.4169526622</v>
      </c>
    </row>
    <row r="3" spans="1:11" s="23" customFormat="1" x14ac:dyDescent="0.25">
      <c r="A3" s="28">
        <v>2014</v>
      </c>
      <c r="B3" s="50">
        <v>2749156</v>
      </c>
      <c r="C3" s="50"/>
      <c r="D3" s="50">
        <f t="shared" ref="D3:D4" si="0">B3+C3</f>
        <v>2749156</v>
      </c>
      <c r="E3" s="51">
        <f>D3*Pristalsregulering!C7</f>
        <v>2751355.3247999996</v>
      </c>
      <c r="F3" s="50"/>
      <c r="G3" s="50"/>
      <c r="H3" s="50">
        <f t="shared" ref="H3:H4" si="1">F3-G3</f>
        <v>0</v>
      </c>
      <c r="I3" s="50"/>
      <c r="J3" s="50"/>
      <c r="K3" s="36"/>
    </row>
    <row r="4" spans="1:11" x14ac:dyDescent="0.25">
      <c r="A4" s="28">
        <v>2013</v>
      </c>
      <c r="B4" s="50">
        <v>2727542</v>
      </c>
      <c r="C4" s="50"/>
      <c r="D4" s="50">
        <f t="shared" si="0"/>
        <v>2727542</v>
      </c>
      <c r="E4" s="51">
        <f>D4*Pristalsregulering!$C$6*Pristalsregulering!$C$7</f>
        <v>2770669.8941039997</v>
      </c>
      <c r="F4" s="50"/>
      <c r="G4" s="50"/>
      <c r="H4" s="50">
        <f t="shared" si="1"/>
        <v>0</v>
      </c>
      <c r="I4" s="50"/>
      <c r="J4" s="50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5" width="30.7109375" customWidth="1"/>
    <col min="6" max="6" width="30.7109375" style="56" customWidth="1"/>
    <col min="7" max="9" width="30.7109375" customWidth="1"/>
    <col min="10" max="10" width="30.7109375" style="56" customWidth="1"/>
    <col min="11" max="13" width="30.7109375" customWidth="1"/>
    <col min="14" max="14" width="30.7109375" style="56" customWidth="1"/>
    <col min="15" max="15" width="9.140625" hidden="1" customWidth="1"/>
    <col min="16" max="97" width="0" hidden="1" customWidth="1"/>
    <col min="98" max="98" width="9.140625" hidden="1" customWidth="1"/>
    <col min="99" max="101" width="0" hidden="1" customWidth="1"/>
    <col min="102" max="102" width="9.140625" hidden="1" customWidth="1"/>
    <col min="103" max="119" width="0" hidden="1" customWidth="1"/>
    <col min="120" max="120" width="9.140625" hidden="1" customWidth="1"/>
    <col min="121" max="123" width="0" hidden="1" customWidth="1"/>
    <col min="124" max="124" width="9.140625" hidden="1" customWidth="1"/>
    <col min="125" max="180" width="0" hidden="1" customWidth="1"/>
    <col min="181" max="181" width="9.140625" hidden="1" customWidth="1"/>
    <col min="182" max="184" width="0" hidden="1" customWidth="1"/>
    <col min="185" max="185" width="9.140625" hidden="1" customWidth="1"/>
    <col min="186" max="202" width="0" hidden="1" customWidth="1"/>
    <col min="203" max="203" width="9.140625" hidden="1" customWidth="1"/>
    <col min="204" max="206" width="0" hidden="1" customWidth="1"/>
    <col min="207" max="207" width="9.140625" hidden="1" customWidth="1"/>
    <col min="208" max="210" width="0" hidden="1" customWidth="1"/>
    <col min="211" max="211" width="9.140625" hidden="1" customWidth="1"/>
    <col min="212" max="224" width="0" hidden="1" customWidth="1"/>
    <col min="225" max="225" width="9.140625" hidden="1" customWidth="1"/>
    <col min="226" max="228" width="0" hidden="1" customWidth="1"/>
    <col min="229" max="229" width="9.140625" hidden="1" customWidth="1"/>
    <col min="230" max="232" width="0" hidden="1" customWidth="1"/>
    <col min="233" max="233" width="9.140625" hidden="1" customWidth="1"/>
    <col min="234" max="263" width="0" hidden="1" customWidth="1"/>
    <col min="264" max="264" width="9.140625" hidden="1" customWidth="1"/>
    <col min="265" max="267" width="0" hidden="1" customWidth="1"/>
    <col min="268" max="268" width="9.140625" hidden="1" customWidth="1"/>
    <col min="269" max="285" width="0" hidden="1" customWidth="1"/>
    <col min="286" max="286" width="9.140625" hidden="1" customWidth="1"/>
    <col min="287" max="289" width="0" hidden="1" customWidth="1"/>
    <col min="290" max="290" width="9.140625" hidden="1" customWidth="1"/>
    <col min="291" max="293" width="0" hidden="1" customWidth="1"/>
    <col min="294" max="294" width="9.140625" hidden="1" customWidth="1"/>
    <col min="295" max="307" width="0" hidden="1" customWidth="1"/>
    <col min="308" max="308" width="9.140625" hidden="1" customWidth="1"/>
    <col min="309" max="311" width="0" hidden="1" customWidth="1"/>
    <col min="312" max="312" width="9.140625" hidden="1" customWidth="1"/>
    <col min="313" max="315" width="0" hidden="1" customWidth="1"/>
    <col min="316" max="316" width="9.140625" hidden="1" customWidth="1"/>
    <col min="317" max="319" width="0" hidden="1" customWidth="1"/>
    <col min="320" max="320" width="9.140625" hidden="1" customWidth="1"/>
    <col min="321" max="329" width="0" hidden="1" customWidth="1"/>
    <col min="330" max="330" width="9.140625" hidden="1" customWidth="1"/>
    <col min="331" max="333" width="0" hidden="1" customWidth="1"/>
    <col min="334" max="334" width="9.140625" hidden="1" customWidth="1"/>
    <col min="335" max="337" width="0" hidden="1" customWidth="1"/>
    <col min="338" max="338" width="9.140625" hidden="1" customWidth="1"/>
    <col min="339" max="341" width="0" hidden="1" customWidth="1"/>
    <col min="342" max="16384" width="9.140625" hidden="1"/>
  </cols>
  <sheetData>
    <row r="1" spans="1:14" s="27" customFormat="1" ht="15.75" thickBot="1" x14ac:dyDescent="0.3">
      <c r="A1" s="9"/>
      <c r="B1" s="33" t="s">
        <v>76</v>
      </c>
      <c r="C1" s="33"/>
      <c r="D1" s="33"/>
      <c r="E1" s="33"/>
      <c r="F1" s="76" t="s">
        <v>77</v>
      </c>
      <c r="G1" s="10"/>
      <c r="H1" s="10"/>
      <c r="I1" s="10"/>
      <c r="J1" s="76" t="s">
        <v>78</v>
      </c>
      <c r="K1" s="10"/>
      <c r="L1" s="10"/>
      <c r="M1" s="10"/>
      <c r="N1" s="65"/>
    </row>
    <row r="2" spans="1:14" ht="30.75" thickTop="1" x14ac:dyDescent="0.25">
      <c r="A2" s="17" t="s">
        <v>13</v>
      </c>
      <c r="B2" s="34" t="s">
        <v>59</v>
      </c>
      <c r="C2" s="35" t="s">
        <v>23</v>
      </c>
      <c r="D2" s="35" t="s">
        <v>24</v>
      </c>
      <c r="E2" s="35" t="s">
        <v>25</v>
      </c>
      <c r="F2" s="57" t="s">
        <v>22</v>
      </c>
      <c r="G2" s="35" t="s">
        <v>23</v>
      </c>
      <c r="H2" s="35" t="s">
        <v>24</v>
      </c>
      <c r="I2" s="35" t="s">
        <v>25</v>
      </c>
      <c r="J2" s="58" t="s">
        <v>22</v>
      </c>
      <c r="K2" s="35" t="s">
        <v>23</v>
      </c>
      <c r="L2" s="35" t="s">
        <v>24</v>
      </c>
      <c r="M2" s="35" t="s">
        <v>25</v>
      </c>
      <c r="N2" s="54" t="s">
        <v>26</v>
      </c>
    </row>
    <row r="3" spans="1:14" s="22" customFormat="1" x14ac:dyDescent="0.25">
      <c r="A3" s="28">
        <v>2016</v>
      </c>
      <c r="B3" s="74"/>
      <c r="C3" s="75"/>
      <c r="D3" s="75"/>
      <c r="E3" s="75">
        <v>50000</v>
      </c>
      <c r="F3" s="46">
        <f t="shared" ref="F3" si="0">B3</f>
        <v>0</v>
      </c>
      <c r="G3" s="36">
        <f t="shared" ref="G3:I4" si="1">C3</f>
        <v>0</v>
      </c>
      <c r="H3" s="36">
        <f t="shared" si="1"/>
        <v>0</v>
      </c>
      <c r="I3" s="36">
        <f t="shared" si="1"/>
        <v>50000</v>
      </c>
      <c r="J3" s="46">
        <f>IF(F4=0,0,AVERAGEIF(F4:F6,"&lt;&gt;0"))+F3</f>
        <v>14822.641199999998</v>
      </c>
      <c r="K3" s="39">
        <f>IF(G4=0,0,AVERAGEIF(G4:G6,"&lt;&gt;0"))+G3</f>
        <v>10539.177199999998</v>
      </c>
      <c r="L3" s="39">
        <f>IF(H4=0,0,AVERAGEIF(H4:H6,"&lt;&gt;0"))+H3</f>
        <v>10142.2212</v>
      </c>
      <c r="M3" s="39">
        <f>IF(I4=0,0,AVERAGEIF(I4:I6,"&lt;&gt;0"))+I3</f>
        <v>50000</v>
      </c>
      <c r="N3" s="59">
        <f>SUM(J3:M3)</f>
        <v>85504.039599999989</v>
      </c>
    </row>
    <row r="4" spans="1:14" x14ac:dyDescent="0.25">
      <c r="A4" s="28">
        <v>2015</v>
      </c>
      <c r="B4" s="36">
        <v>14280</v>
      </c>
      <c r="C4" s="36">
        <v>10627</v>
      </c>
      <c r="D4" s="36">
        <v>12225</v>
      </c>
      <c r="E4" s="36"/>
      <c r="F4" s="46">
        <f>B4</f>
        <v>14280</v>
      </c>
      <c r="G4" s="36">
        <f t="shared" si="1"/>
        <v>10627</v>
      </c>
      <c r="H4" s="36">
        <f t="shared" si="1"/>
        <v>12225</v>
      </c>
      <c r="I4" s="36">
        <f t="shared" si="1"/>
        <v>0</v>
      </c>
      <c r="J4" s="46"/>
      <c r="K4" s="39"/>
      <c r="L4" s="39"/>
      <c r="M4" s="39"/>
      <c r="N4" s="55"/>
    </row>
    <row r="5" spans="1:14" x14ac:dyDescent="0.25">
      <c r="A5" s="28">
        <v>2014</v>
      </c>
      <c r="B5" s="36">
        <v>15353</v>
      </c>
      <c r="C5" s="36">
        <v>10443</v>
      </c>
      <c r="D5" s="36">
        <v>8053</v>
      </c>
      <c r="E5" s="36"/>
      <c r="F5" s="46">
        <f>B5*Pristalsregulering!$C$7</f>
        <v>15365.282399999998</v>
      </c>
      <c r="G5" s="36">
        <f>C5*Pristalsregulering!$C$7</f>
        <v>10451.354399999998</v>
      </c>
      <c r="H5" s="36">
        <f>D5*Pristalsregulering!$C$7</f>
        <v>8059.442399999999</v>
      </c>
      <c r="I5" s="36">
        <f>E5*Pristalsregulering!$C$7</f>
        <v>0</v>
      </c>
      <c r="J5" s="46"/>
      <c r="K5" s="36"/>
      <c r="L5" s="36"/>
      <c r="M5" s="36"/>
      <c r="N5" s="46"/>
    </row>
    <row r="6" spans="1:14" x14ac:dyDescent="0.25">
      <c r="A6" s="28">
        <v>2013</v>
      </c>
      <c r="B6" s="36"/>
      <c r="C6" s="36"/>
      <c r="D6" s="36"/>
      <c r="E6" s="36"/>
      <c r="F6" s="46">
        <f>B6*Pristalsregulering!$C$7*Pristalsregulering!$C$6</f>
        <v>0</v>
      </c>
      <c r="G6" s="36">
        <f>C6*Pristalsregulering!$C$7*Pristalsregulering!$C$6</f>
        <v>0</v>
      </c>
      <c r="H6" s="36">
        <f>D6*Pristalsregulering!$C$7*Pristalsregulering!$C$6</f>
        <v>0</v>
      </c>
      <c r="I6" s="36">
        <f>E6*Pristalsregulering!$C$7*Pristalsregulering!$C$6</f>
        <v>0</v>
      </c>
      <c r="J6" s="46"/>
      <c r="K6" s="36"/>
      <c r="L6" s="36"/>
      <c r="M6" s="36"/>
      <c r="N6" s="46"/>
    </row>
    <row r="7" spans="1:14" hidden="1" x14ac:dyDescent="0.25"/>
    <row r="8" spans="1:14" hidden="1" x14ac:dyDescent="0.25"/>
    <row r="9" spans="1:14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27</v>
      </c>
      <c r="C1" s="78"/>
      <c r="D1" s="78"/>
      <c r="E1" s="79" t="s">
        <v>57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28</v>
      </c>
      <c r="C2" s="20" t="s">
        <v>29</v>
      </c>
      <c r="D2" s="20" t="s">
        <v>30</v>
      </c>
      <c r="E2" s="16" t="s">
        <v>28</v>
      </c>
      <c r="F2" s="20" t="s">
        <v>29</v>
      </c>
      <c r="G2" s="47" t="s">
        <v>30</v>
      </c>
      <c r="H2" s="6" t="s">
        <v>32</v>
      </c>
    </row>
    <row r="3" spans="1:8" x14ac:dyDescent="0.25">
      <c r="A3" s="31">
        <v>2015</v>
      </c>
      <c r="B3" s="42">
        <v>16600</v>
      </c>
      <c r="C3" s="43">
        <v>39750</v>
      </c>
      <c r="D3" s="43">
        <v>0</v>
      </c>
      <c r="E3" s="42">
        <f>B3</f>
        <v>16600</v>
      </c>
      <c r="F3" s="43">
        <f t="shared" ref="F3:G3" si="0">C3</f>
        <v>39750</v>
      </c>
      <c r="G3" s="44">
        <f t="shared" si="0"/>
        <v>0</v>
      </c>
      <c r="H3" s="45">
        <f>IF(E3=0,0,AVERAGEIF(E3:E5,"&lt;&gt;0"))+IF(F3=0,0,AVERAGEIF(F3:F5,"&lt;&gt;0"))+IF(G3=0,0,AVERAGEIF(G3:G5,"&lt;&gt;0"))</f>
        <v>54171.566289333328</v>
      </c>
    </row>
    <row r="4" spans="1:8" x14ac:dyDescent="0.25">
      <c r="A4" s="31">
        <v>2014</v>
      </c>
      <c r="B4" s="42">
        <v>16300</v>
      </c>
      <c r="C4" s="43">
        <v>32545</v>
      </c>
      <c r="D4" s="43">
        <v>0</v>
      </c>
      <c r="E4" s="42">
        <f>B4*Pristalsregulering!$C$7</f>
        <v>16313.039999999999</v>
      </c>
      <c r="F4" s="43">
        <f>C4*Pristalsregulering!$C$7</f>
        <v>32571.035999999996</v>
      </c>
      <c r="G4" s="44">
        <f>D4*Pristalsregulering!$C$7</f>
        <v>0</v>
      </c>
      <c r="H4" s="43"/>
    </row>
    <row r="5" spans="1:8" x14ac:dyDescent="0.25">
      <c r="A5" s="31">
        <v>2013</v>
      </c>
      <c r="B5" s="42">
        <v>16000</v>
      </c>
      <c r="C5" s="43">
        <v>40389</v>
      </c>
      <c r="D5" s="43">
        <v>0</v>
      </c>
      <c r="E5" s="42">
        <f>B5*Pristalsregulering!$C$7*Pristalsregulering!$C$6</f>
        <v>16252.991999999998</v>
      </c>
      <c r="F5" s="43">
        <f>C5*Pristalsregulering!$C$7*Pristalsregulering!$C$6</f>
        <v>41027.630867999993</v>
      </c>
      <c r="G5" s="44">
        <f>D5*Pristalsregulering!$C$7*Pristalsregulering!$C$6</f>
        <v>0</v>
      </c>
      <c r="H5" s="43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3"/>
      <c r="B1" s="80" t="s">
        <v>71</v>
      </c>
      <c r="C1" s="80"/>
      <c r="D1" s="81"/>
      <c r="E1" s="82" t="s">
        <v>72</v>
      </c>
      <c r="F1" s="82"/>
      <c r="G1" s="82"/>
    </row>
    <row r="2" spans="1:7" s="22" customFormat="1" ht="15.75" thickTop="1" x14ac:dyDescent="0.25">
      <c r="A2" s="71" t="s">
        <v>13</v>
      </c>
      <c r="B2" s="23" t="s">
        <v>69</v>
      </c>
      <c r="C2" s="23" t="s">
        <v>1</v>
      </c>
      <c r="D2" s="28" t="s">
        <v>70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2">
        <v>2015</v>
      </c>
      <c r="B3" s="39">
        <v>2180255.3023101473</v>
      </c>
      <c r="C3" s="39">
        <v>512032.63833333342</v>
      </c>
      <c r="D3" s="41">
        <v>177333.33333333331</v>
      </c>
      <c r="E3" s="36">
        <f>B3*Pristalsregulering!C2*Pristalsregulering!C3*Pristalsregulering!C4*Pristalsregulering!C5*Pristalsregulering!C6*Pristalsregulering!C7</f>
        <v>2373641.6912161843</v>
      </c>
      <c r="F3" s="36">
        <v>528207.03024942509</v>
      </c>
      <c r="G3" s="36">
        <f>D3</f>
        <v>177333.33333333331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3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44</v>
      </c>
      <c r="C1" s="78"/>
      <c r="D1" s="78"/>
      <c r="E1" s="78"/>
      <c r="F1" s="79" t="s">
        <v>58</v>
      </c>
      <c r="G1" s="80"/>
      <c r="H1" s="80"/>
      <c r="I1" s="80"/>
      <c r="J1" s="83" t="s">
        <v>32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45</v>
      </c>
      <c r="C2" s="7" t="s">
        <v>46</v>
      </c>
      <c r="D2" s="7" t="s">
        <v>47</v>
      </c>
      <c r="E2" s="52" t="s">
        <v>48</v>
      </c>
      <c r="F2" s="7" t="s">
        <v>45</v>
      </c>
      <c r="G2" s="7" t="s">
        <v>46</v>
      </c>
      <c r="H2" s="7" t="s">
        <v>47</v>
      </c>
      <c r="I2" s="52" t="s">
        <v>48</v>
      </c>
      <c r="J2" s="20" t="s">
        <v>49</v>
      </c>
      <c r="K2" s="20" t="s">
        <v>46</v>
      </c>
      <c r="L2" s="15" t="s">
        <v>75</v>
      </c>
      <c r="M2" s="6" t="s">
        <v>31</v>
      </c>
      <c r="N2" s="32"/>
    </row>
    <row r="3" spans="1:14" x14ac:dyDescent="0.25">
      <c r="A3" s="28">
        <v>2015</v>
      </c>
      <c r="B3" s="46">
        <v>20547</v>
      </c>
      <c r="C3" s="39">
        <v>899</v>
      </c>
      <c r="D3" s="39">
        <v>0</v>
      </c>
      <c r="E3" s="41">
        <v>0</v>
      </c>
      <c r="F3" s="39">
        <f>B3</f>
        <v>20547</v>
      </c>
      <c r="G3" s="39">
        <f>C3</f>
        <v>899</v>
      </c>
      <c r="H3" s="39">
        <f>D3</f>
        <v>0</v>
      </c>
      <c r="I3" s="41">
        <f>E3</f>
        <v>0</v>
      </c>
      <c r="J3" s="43">
        <f>AVERAGE(F3:F5)</f>
        <v>38831.587284000001</v>
      </c>
      <c r="K3" s="43">
        <f>G3</f>
        <v>899</v>
      </c>
      <c r="L3" s="44">
        <f>AVERAGE(H3:H5)+AVERAGE(I3:I5)</f>
        <v>0</v>
      </c>
      <c r="M3" s="45">
        <f>SUM(J3:L3)</f>
        <v>39730.587284000001</v>
      </c>
      <c r="N3" s="23"/>
    </row>
    <row r="4" spans="1:14" x14ac:dyDescent="0.25">
      <c r="A4" s="28">
        <v>2014</v>
      </c>
      <c r="B4" s="46">
        <v>26982</v>
      </c>
      <c r="C4" s="39">
        <v>27</v>
      </c>
      <c r="D4" s="39">
        <v>0</v>
      </c>
      <c r="E4" s="41">
        <v>0</v>
      </c>
      <c r="F4" s="39">
        <f>IF(B4="","",B4*Pristalsregulering!$C$7)</f>
        <v>27003.585599999999</v>
      </c>
      <c r="G4" s="39">
        <f>IF(C4="","",C4*Pristalsregulering!$C$7)</f>
        <v>27.021599999999999</v>
      </c>
      <c r="H4" s="39">
        <f>IF(D4="","",D4*Pristalsregulering!$C$7)</f>
        <v>0</v>
      </c>
      <c r="I4" s="41">
        <f>IF(E4="","",E4*Pristalsregulering!$C$7)</f>
        <v>0</v>
      </c>
      <c r="J4" s="39"/>
      <c r="L4" s="41"/>
      <c r="M4" s="36"/>
    </row>
    <row r="5" spans="1:14" x14ac:dyDescent="0.25">
      <c r="A5" s="28">
        <v>2013</v>
      </c>
      <c r="B5" s="46">
        <v>67871</v>
      </c>
      <c r="C5" s="39">
        <v>0</v>
      </c>
      <c r="D5" s="39">
        <v>0</v>
      </c>
      <c r="E5" s="41">
        <v>0</v>
      </c>
      <c r="F5" s="39">
        <f>IF(B5="","",B5*Pristalsregulering!$C$7*Pristalsregulering!$C$6)</f>
        <v>68944.17625199999</v>
      </c>
      <c r="G5" s="39">
        <f>IF(C5="","",C5*Pristalsregulering!$C$7*Pristalsregulering!$C$6)</f>
        <v>0</v>
      </c>
      <c r="H5" s="39">
        <f>IF(D5="","",D5*Pristalsregulering!$C$7*Pristalsregulering!$C$6)</f>
        <v>0</v>
      </c>
      <c r="I5" s="41">
        <f>IF(E5="","",E5*Pristalsregulering!$C$7*Pristalsregulering!$C$6)</f>
        <v>0</v>
      </c>
      <c r="J5" s="36"/>
      <c r="L5" s="41"/>
      <c r="M5" s="36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19.140625" style="25" bestFit="1" customWidth="1"/>
    <col min="11" max="11" width="44.5703125" style="25" bestFit="1" customWidth="1"/>
    <col min="12" max="12" width="44.5703125" style="25" customWidth="1"/>
    <col min="13" max="13" width="16.85546875" style="31" bestFit="1" customWidth="1"/>
    <col min="14" max="14" width="15.7109375" style="25" customWidth="1"/>
    <col min="15" max="17" width="0" style="25" hidden="1" customWidth="1"/>
    <col min="18" max="16384" width="9.140625" style="25" hidden="1"/>
  </cols>
  <sheetData>
    <row r="1" spans="1:14" s="21" customFormat="1" ht="15.75" thickBot="1" x14ac:dyDescent="0.3">
      <c r="A1" s="12" t="s">
        <v>13</v>
      </c>
      <c r="B1" s="68" t="s">
        <v>33</v>
      </c>
      <c r="C1" s="68" t="s">
        <v>34</v>
      </c>
      <c r="D1" s="68" t="s">
        <v>35</v>
      </c>
      <c r="E1" s="68" t="s">
        <v>36</v>
      </c>
      <c r="F1" s="68" t="s">
        <v>37</v>
      </c>
      <c r="G1" s="68" t="s">
        <v>38</v>
      </c>
      <c r="H1" s="68" t="s">
        <v>39</v>
      </c>
      <c r="I1" s="68" t="s">
        <v>40</v>
      </c>
      <c r="J1" s="68" t="s">
        <v>41</v>
      </c>
      <c r="K1" s="68" t="s">
        <v>42</v>
      </c>
      <c r="L1" s="68" t="s">
        <v>60</v>
      </c>
      <c r="M1" s="69" t="s">
        <v>43</v>
      </c>
      <c r="N1" s="14" t="s">
        <v>31</v>
      </c>
    </row>
    <row r="2" spans="1:14" ht="15.75" thickTop="1" x14ac:dyDescent="0.25">
      <c r="A2" s="31">
        <v>2015</v>
      </c>
      <c r="B2" s="43">
        <v>32523</v>
      </c>
      <c r="C2" s="43">
        <v>0</v>
      </c>
      <c r="D2" s="43">
        <v>0</v>
      </c>
      <c r="E2" s="43">
        <v>0</v>
      </c>
      <c r="F2" s="43">
        <v>0</v>
      </c>
      <c r="G2" s="43">
        <v>2660981</v>
      </c>
      <c r="H2" s="43" t="s">
        <v>50</v>
      </c>
      <c r="I2" s="43">
        <v>0</v>
      </c>
      <c r="J2" s="43">
        <v>0</v>
      </c>
      <c r="K2" s="43">
        <v>0</v>
      </c>
      <c r="L2" s="43"/>
      <c r="M2" s="44"/>
      <c r="N2" s="45">
        <f>SUM(B2:M2)</f>
        <v>2693504</v>
      </c>
    </row>
    <row r="3" spans="1:14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50</v>
      </c>
    </row>
    <row r="4" spans="1:14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50</v>
      </c>
    </row>
    <row r="5" spans="1:14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  <c r="K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61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53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54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2016-09-29T12:12:28Z</dcterms:modified>
</cp:coreProperties>
</file>