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Novafos Vand Gladsaxe AS (V065)\ØR2024\"/>
    </mc:Choice>
  </mc:AlternateContent>
  <xr:revisionPtr revIDLastSave="0" documentId="13_ncr:1_{30C4AAF1-45DB-47DD-A83E-64A66DFF9C23}"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3"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2024'!$B$7:$D$33</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C29" i="2" l="1"/>
  <c r="E23" i="43" l="1"/>
  <c r="E31" i="43" s="1"/>
  <c r="E33" i="43" s="1"/>
  <c r="C17" i="22" l="1"/>
  <c r="C17" i="15"/>
  <c r="E27" i="43"/>
  <c r="C8" i="2"/>
  <c r="C13" i="29" l="1"/>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C32" i="2" l="1"/>
  <c r="G58" i="36"/>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<sst xmlns="http://schemas.openxmlformats.org/spreadsheetml/2006/main" count="551" uniqueCount="264">
  <si>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</si>
  <si>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</si>
  <si>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</si>
  <si>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</si>
  <si>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</si>
  <si>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</si>
  <si>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</si>
  <si>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</si>
  <si>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</si>
  <si>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</si>
  <si>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</si>
  <si>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</si>
  <si>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</si>
  <si>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</si>
  <si>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</si>
  <si>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</si>
  <si>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</si>
  <si>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</si>
  <si>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</si>
  <si>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</si>
  <si>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</si>
  <si>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</si>
  <si>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</si>
  <si>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</si>
  <si>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</si>
  <si>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</si>
  <si>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</si>
  <si>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</si>
  <si>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</si>
  <si>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</si>
  <si>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</si>
  <si>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</si>
  <si>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</si>
  <si>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</si>
  <si>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</si>
  <si>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</si>
  <si>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</si>
  <si>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</si>
  <si>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</si>
  <si>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</si>
  <si>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</si>
  <si>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</si>
  <si>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</si>
  <si>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</si>
  <si>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</si>
  <si>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</si>
  <si>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</si>
  <si>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</si>
  <si>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</si>
  <si>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</si>
  <si>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</si>
  <si>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</si>
  <si>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</si>
  <si>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</si>
  <si>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</si>
  <si>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</si>
  <si>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</si>
  <si>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</si>
  <si>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</si>
  <si>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</si>
  <si>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</si>
  <si>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</si>
  <si>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</si>
  <si>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</si>
  <si>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</si>
  <si>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</si>
  <si>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</si>
  <si>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</si>
  <si>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</si>
  <si>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</si>
  <si>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</si>
  <si>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</si>
  <si>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</si>
  <si>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</si>
  <si>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</si>
  <si>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</si>
  <si>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</si>
  <si>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</si>
  <si>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</si>
  <si>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</si>
  <si>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</si>
  <si>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</si>
  <si>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</si>
  <si>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</si>
  <si>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</si>
  <si>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</si>
  <si>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</si>
  <si>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</si>
  <si>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</si>
  <si>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</si>
  <si>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</si>
  <si>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</si>
  <si>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</si>
  <si>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</si>
  <si>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</si>
  <si>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</si>
  <si>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</si>
  <si>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</si>
  <si>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</si>
  <si>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</si>
  <si>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</si>
  <si>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</si>
  <si>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</si>
  <si>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</si>
  <si>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</si>
  <si>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</si>
  <si>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</si>
  <si>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</si>
  <si>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</si>
  <si>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</si>
  <si>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</si>
  <si>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</si>
  <si>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</si>
  <si>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</si>
  <si>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</si>
  <si>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</si>
  <si>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</si>
  <si>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</si>
  <si>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</si>
  <si>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</si>
  <si>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</si>
  <si>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</si>
  <si>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</si>
  <si>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</si>
  <si>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</si>
  <si>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</si>
  <si>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</si>
  <si>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</si>
  <si>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</si>
  <si>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</si>
  <si>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</si>
  <si>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</si>
  <si>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</si>
  <si>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</si>
  <si>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</si>
  <si>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</si>
  <si>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</si>
  <si>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</si>
  <si>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</si>
  <si>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</si>
  <si>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</si>
  <si>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</si>
  <si>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</si>
  <si>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</si>
  <si>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</si>
  <si>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</si>
  <si>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</si>
  <si>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</si>
  <si>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</si>
  <si>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</si>
  <si>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</si>
  <si>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</si>
  <si>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</si>
  <si>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</si>
  <si>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</si>
  <si>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</si>
  <si>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</si>
  <si>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</si>
  <si>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</si>
  <si>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</si>
  <si>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</si>
  <si>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</si>
  <si>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</si>
  <si>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</si>
  <si>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</si>
  <si>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</si>
  <si>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</si>
  <si>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</si>
  <si>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</si>
  <si>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</si>
  <si>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</si>
  <si>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</si>
  <si>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</si>
  <si>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</si>
  <si>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</si>
  <si>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</si>
  <si>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</si>
  <si>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</si>
  <si>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</si>
  <si>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</si>
  <si>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</si>
  <si>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</si>
  <si>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</si>
  <si>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</si>
  <si>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</si>
  <si>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</si>
  <si>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</si>
  <si>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</si>
  <si>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</si>
  <si>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</si>
  <si>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</si>
  <si>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</si>
  <si>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</si>
  <si>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</si>
  <si>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</si>
  <si>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</si>
  <si>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</si>
  <si>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</si>
  <si>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</si>
  <si>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</si>
  <si>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</si>
  <si>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</si>
  <si>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</si>
  <si>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</si>
  <si>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</si>
  <si>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</si>
  <si>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</si>
  <si>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</si>
  <si>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</si>
  <si>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</si>
  <si>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</si>
  <si>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</si>
  <si>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</si>
  <si>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</si>
  <si>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</si>
  <si>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</si>
  <si>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</si>
  <si>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</si>
  <si>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</si>
  <si>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</si>
  <si>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</si>
  <si>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</si>
  <si>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</si>
  <si>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</si>
  <si>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</si>
  <si>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</si>
  <si>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</si>
  <si>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</si>
  <si>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</si>
  <si>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</si>
  <si>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</si>
  <si>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</si>
  <si>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</si>
  <si>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</si>
  <si>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</si>
  <si>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</si>
  <si>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</si>
  <si>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</si>
  <si>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</si>
  <si>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</si>
  <si>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</si>
  <si>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</si>
  <si>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</si>
  <si>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Afgift for ledningsført vand</t>
  </si>
  <si>
    <t>Afgift til Forsyningssekretariatet</t>
  </si>
  <si>
    <t>Køb af ydelser og produkter fra andre vandselskaber reguleret af vandsektorloven</t>
  </si>
  <si>
    <t>Ejendomsskat</t>
  </si>
  <si>
    <t>Tjenestemandspensioner</t>
  </si>
  <si>
    <t>Letbanen</t>
  </si>
  <si>
    <t>Stiketablering</t>
  </si>
  <si>
    <t>Ingen engangstillæg</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</si>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</sst>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4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10" fontId="8" fillId="0" borderId="0" xfId="0" applyNumberFormat="1" applyFont="1" applyFill="1" applyBorder="1" applyProtection="1"/>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1">
    <dxf>
      <fill>
        <patternFill>
          <bgColor rgb="FF00B0F0"/>
        </patternFill>
      </fill>
    </dxf>
  </dxfs>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row r="5">
          <cell r="C5">
            <v>1.0168999999999999</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1" t="s">
        <v>4</v>
      </c>
      <c r="E6" s="91"/>
      <c r="F6" s="91"/>
      <c r="G6" s="91"/>
      <c r="H6" s="3"/>
      <c r="I6" s="1"/>
    </row>
    <row r="7" spans="1:9" ht="15" customHeight="1" x14ac:dyDescent="0.25">
      <c r="A7" s="1"/>
      <c r="B7" s="1"/>
      <c r="C7" s="3"/>
      <c r="D7" s="91"/>
      <c r="E7" s="91"/>
      <c r="F7" s="91"/>
      <c r="G7" s="91"/>
      <c r="H7" s="3"/>
      <c r="I7" s="1"/>
    </row>
    <row r="8" spans="1:9" ht="15.75" x14ac:dyDescent="0.25">
      <c r="A8" s="1"/>
      <c r="B8" s="1"/>
      <c r="C8" s="4"/>
      <c r="D8" s="93" t="s">
        <v>235</v>
      </c>
      <c r="E8" s="93"/>
      <c r="F8" s="93"/>
      <c r="G8" s="93"/>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2" t="s">
        <v>5</v>
      </c>
      <c r="E11" s="92"/>
      <c r="F11" s="92"/>
      <c r="G11" s="92"/>
      <c r="H11" s="5"/>
      <c r="I11" s="1"/>
    </row>
    <row r="12" spans="1:9" x14ac:dyDescent="0.25">
      <c r="A12" s="1"/>
      <c r="B12" s="1"/>
      <c r="C12" s="1"/>
      <c r="D12" s="1"/>
      <c r="E12" s="1"/>
      <c r="F12" s="1"/>
      <c r="G12" s="1"/>
      <c r="H12" s="1"/>
      <c r="I12" s="1"/>
    </row>
    <row r="13" spans="1:9" x14ac:dyDescent="0.25">
      <c r="A13" s="1"/>
      <c r="B13" s="1"/>
      <c r="C13" s="6" t="s">
        <v>6</v>
      </c>
      <c r="D13" s="88" t="s">
        <v>162</v>
      </c>
      <c r="E13" s="89"/>
      <c r="F13" s="89"/>
      <c r="G13" s="90"/>
      <c r="H13" s="1"/>
      <c r="I13" s="1"/>
    </row>
    <row r="14" spans="1:9" x14ac:dyDescent="0.25">
      <c r="A14" s="1"/>
      <c r="B14" s="1"/>
      <c r="C14" s="6" t="s">
        <v>14</v>
      </c>
      <c r="D14" s="88" t="s">
        <v>197</v>
      </c>
      <c r="E14" s="89"/>
      <c r="F14" s="89"/>
      <c r="G14" s="90"/>
      <c r="H14" s="1"/>
      <c r="I14" s="1"/>
    </row>
    <row r="15" spans="1:9" x14ac:dyDescent="0.25">
      <c r="A15" s="1"/>
      <c r="B15" s="1"/>
      <c r="C15" s="6" t="s">
        <v>30</v>
      </c>
      <c r="D15" s="88" t="s">
        <v>141</v>
      </c>
      <c r="E15" s="89"/>
      <c r="F15" s="89"/>
      <c r="G15" s="90"/>
      <c r="H15" s="1"/>
      <c r="I15" s="1"/>
    </row>
    <row r="16" spans="1:9" x14ac:dyDescent="0.25">
      <c r="A16" s="1"/>
      <c r="B16" s="1"/>
      <c r="C16" s="6" t="s">
        <v>31</v>
      </c>
      <c r="D16" s="88" t="s">
        <v>194</v>
      </c>
      <c r="E16" s="89"/>
      <c r="F16" s="89"/>
      <c r="G16" s="90"/>
      <c r="H16" s="1"/>
      <c r="I16" s="1"/>
    </row>
    <row r="17" spans="1:9" x14ac:dyDescent="0.25">
      <c r="A17" s="1"/>
      <c r="B17" s="1"/>
      <c r="C17" s="6" t="s">
        <v>102</v>
      </c>
      <c r="D17" s="88" t="s">
        <v>195</v>
      </c>
      <c r="E17" s="89"/>
      <c r="F17" s="89"/>
      <c r="G17" s="90"/>
      <c r="H17" s="1"/>
      <c r="I17" s="1"/>
    </row>
    <row r="18" spans="1:9" x14ac:dyDescent="0.25">
      <c r="A18" s="1"/>
      <c r="B18" s="1"/>
      <c r="C18" s="6" t="s">
        <v>86</v>
      </c>
      <c r="D18" s="94" t="s">
        <v>79</v>
      </c>
      <c r="E18" s="95"/>
      <c r="F18" s="95"/>
      <c r="G18" s="96"/>
      <c r="H18" s="1"/>
      <c r="I18" s="1"/>
    </row>
    <row r="19" spans="1:9" x14ac:dyDescent="0.25">
      <c r="A19" s="1"/>
      <c r="B19" s="1"/>
      <c r="C19" s="6" t="s">
        <v>87</v>
      </c>
      <c r="D19" s="94" t="s">
        <v>80</v>
      </c>
      <c r="E19" s="95"/>
      <c r="F19" s="95"/>
      <c r="G19" s="96"/>
      <c r="H19" s="1"/>
      <c r="I19" s="1"/>
    </row>
    <row r="20" spans="1:9" x14ac:dyDescent="0.25">
      <c r="A20" s="1"/>
      <c r="B20" s="1"/>
      <c r="C20" s="6" t="s">
        <v>7</v>
      </c>
      <c r="D20" s="94" t="s">
        <v>9</v>
      </c>
      <c r="E20" s="95"/>
      <c r="F20" s="95"/>
      <c r="G20" s="96"/>
      <c r="H20" s="1"/>
      <c r="I20" s="1"/>
    </row>
    <row r="21" spans="1:9" x14ac:dyDescent="0.25">
      <c r="A21" s="1"/>
      <c r="B21" s="1"/>
      <c r="C21" s="6" t="s">
        <v>88</v>
      </c>
      <c r="D21" s="85" t="s">
        <v>11</v>
      </c>
      <c r="E21" s="86"/>
      <c r="F21" s="86"/>
      <c r="G21" s="87"/>
      <c r="H21" s="1"/>
      <c r="I21" s="1"/>
    </row>
    <row r="22" spans="1:9" x14ac:dyDescent="0.25">
      <c r="A22" s="1"/>
      <c r="B22" s="1"/>
      <c r="C22" s="6" t="s">
        <v>73</v>
      </c>
      <c r="D22" s="79" t="s">
        <v>196</v>
      </c>
      <c r="E22" s="80"/>
      <c r="F22" s="80"/>
      <c r="G22" s="81"/>
      <c r="H22" s="1"/>
      <c r="I22" s="1"/>
    </row>
    <row r="23" spans="1:9" x14ac:dyDescent="0.25">
      <c r="A23" s="1"/>
      <c r="B23" s="1"/>
      <c r="C23" s="6" t="s">
        <v>8</v>
      </c>
      <c r="D23" s="79" t="s">
        <v>176</v>
      </c>
      <c r="E23" s="80"/>
      <c r="F23" s="80"/>
      <c r="G23" s="81"/>
      <c r="H23" s="1"/>
      <c r="I23" s="1"/>
    </row>
    <row r="24" spans="1:9" x14ac:dyDescent="0.25">
      <c r="A24" s="1"/>
      <c r="B24" s="1"/>
      <c r="C24" s="6" t="s">
        <v>172</v>
      </c>
      <c r="D24" s="79" t="s">
        <v>163</v>
      </c>
      <c r="E24" s="80"/>
      <c r="F24" s="80"/>
      <c r="G24" s="81"/>
      <c r="H24" s="1"/>
      <c r="I24" s="1"/>
    </row>
    <row r="25" spans="1:9" x14ac:dyDescent="0.25">
      <c r="A25" s="1"/>
      <c r="B25" s="1"/>
      <c r="C25" s="6" t="s">
        <v>173</v>
      </c>
      <c r="D25" s="79" t="s">
        <v>74</v>
      </c>
      <c r="E25" s="80"/>
      <c r="F25" s="80"/>
      <c r="G25" s="81"/>
      <c r="H25" s="1"/>
      <c r="I25" s="1"/>
    </row>
    <row r="26" spans="1:9" x14ac:dyDescent="0.25">
      <c r="A26" s="1"/>
      <c r="B26" s="1"/>
      <c r="C26" s="6" t="s">
        <v>174</v>
      </c>
      <c r="D26" s="79" t="s">
        <v>75</v>
      </c>
      <c r="E26" s="80"/>
      <c r="F26" s="80"/>
      <c r="G26" s="81"/>
      <c r="H26" s="1"/>
      <c r="I26" s="1"/>
    </row>
    <row r="27" spans="1:9" x14ac:dyDescent="0.25">
      <c r="A27" s="1"/>
      <c r="B27" s="1"/>
      <c r="C27" s="6" t="s">
        <v>89</v>
      </c>
      <c r="D27" s="79" t="s">
        <v>103</v>
      </c>
      <c r="E27" s="80"/>
      <c r="F27" s="80"/>
      <c r="G27" s="81"/>
      <c r="H27" s="1"/>
      <c r="I27" s="1"/>
    </row>
    <row r="28" spans="1:9" x14ac:dyDescent="0.25">
      <c r="A28" s="1"/>
      <c r="B28" s="1"/>
      <c r="C28" s="6" t="s">
        <v>83</v>
      </c>
      <c r="D28" s="79" t="s">
        <v>32</v>
      </c>
      <c r="E28" s="80"/>
      <c r="F28" s="80"/>
      <c r="G28" s="81"/>
      <c r="H28" s="1"/>
      <c r="I28" s="1"/>
    </row>
    <row r="29" spans="1:9" x14ac:dyDescent="0.25">
      <c r="A29" s="1"/>
      <c r="B29" s="1"/>
      <c r="C29" s="6" t="s">
        <v>175</v>
      </c>
      <c r="D29" s="82" t="s">
        <v>84</v>
      </c>
      <c r="E29" s="83"/>
      <c r="F29" s="83"/>
      <c r="G29" s="84"/>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zqAbic5wtfWYRTMaFC7/lyILcwV5bWs+UZQ7tY8IJ8QApPIlVK8n8nbZuVpBodrGFXMlp8bLAznfq9DtgrXC9A==" saltValue="plWBEbJRQ2GN3ihTt0uTdQ=="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198</v>
      </c>
      <c r="C3" s="97"/>
      <c r="D3" s="97"/>
      <c r="E3" s="1"/>
    </row>
    <row r="4" spans="1:5" ht="15" customHeight="1"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1" t="s">
        <v>12</v>
      </c>
      <c r="C7" s="52"/>
      <c r="D7" s="19"/>
      <c r="E7" s="1"/>
    </row>
    <row r="8" spans="1:5" x14ac:dyDescent="0.25">
      <c r="A8" s="1"/>
      <c r="B8" s="54" t="s">
        <v>109</v>
      </c>
      <c r="C8" s="7">
        <f>'Fane 3. Omkostninger i ØR2023'!C19</f>
        <v>30207426.940781455</v>
      </c>
      <c r="D8" s="8" t="s">
        <v>3</v>
      </c>
      <c r="E8" s="1"/>
    </row>
    <row r="9" spans="1:5" ht="17.100000000000001" customHeight="1" x14ac:dyDescent="0.25">
      <c r="A9" s="1"/>
      <c r="B9" s="24" t="s">
        <v>33</v>
      </c>
      <c r="C9" s="7">
        <f>'Fane 10.1. Varige tillæg'!C18</f>
        <v>94113.902399999992</v>
      </c>
      <c r="D9" s="8" t="s">
        <v>3</v>
      </c>
      <c r="E9" s="1"/>
    </row>
    <row r="10" spans="1:5" ht="17.100000000000001" customHeight="1" x14ac:dyDescent="0.25">
      <c r="A10" s="1"/>
      <c r="B10" s="24" t="s">
        <v>34</v>
      </c>
      <c r="C10" s="9">
        <f>'Fane 10.1. Varige tillæg'!E18</f>
        <v>992727.7696</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1163201.2061894198</v>
      </c>
      <c r="D15" s="8" t="s">
        <v>3</v>
      </c>
      <c r="E15" s="1"/>
    </row>
    <row r="16" spans="1:5" ht="17.100000000000001" customHeight="1" x14ac:dyDescent="0.25">
      <c r="A16" s="1"/>
      <c r="B16" s="24" t="s">
        <v>9</v>
      </c>
      <c r="C16" s="9">
        <f>-SUM(C8,C9:C15)*'Fane 5. Individuelt eff. krav'!G9</f>
        <v>-578076.645451113</v>
      </c>
      <c r="D16" s="8" t="s">
        <v>3</v>
      </c>
      <c r="E16" s="1"/>
    </row>
    <row r="17" spans="1:5" ht="17.100000000000001" customHeight="1" x14ac:dyDescent="0.25">
      <c r="A17" s="1"/>
      <c r="B17" s="24" t="s">
        <v>22</v>
      </c>
      <c r="C17" s="9">
        <f>-'Fane 4.1. Gen. krav - drift'!G49</f>
        <v>-347951.2623942236</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3" t="s">
        <v>19</v>
      </c>
      <c r="C19" s="10">
        <f>SUM(C8:C18)</f>
        <v>31531441.911125537</v>
      </c>
      <c r="D19" s="11" t="s">
        <v>3</v>
      </c>
      <c r="E19" s="1"/>
    </row>
    <row r="20" spans="1:5" ht="15" customHeight="1" x14ac:dyDescent="0.25">
      <c r="A20" s="1"/>
      <c r="B20" s="51" t="s">
        <v>11</v>
      </c>
      <c r="C20" s="52"/>
      <c r="D20" s="19"/>
      <c r="E20" s="1"/>
    </row>
    <row r="21" spans="1:5" ht="15" customHeight="1" x14ac:dyDescent="0.25">
      <c r="A21" s="1"/>
      <c r="B21" s="53" t="s">
        <v>11</v>
      </c>
      <c r="C21" s="10">
        <f>'Fane 6. Ikke-påvirkelige omk.'!C20</f>
        <v>37139107.01086656</v>
      </c>
      <c r="D21" s="11" t="s">
        <v>3</v>
      </c>
      <c r="E21" s="1"/>
    </row>
    <row r="22" spans="1:5" ht="15" customHeight="1" x14ac:dyDescent="0.25">
      <c r="A22" s="1"/>
      <c r="B22" s="51" t="s">
        <v>75</v>
      </c>
      <c r="C22" s="52"/>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3" t="s">
        <v>76</v>
      </c>
      <c r="C27" s="56">
        <f>SUM(C23:C26)</f>
        <v>0</v>
      </c>
      <c r="D27" s="11" t="s">
        <v>3</v>
      </c>
      <c r="E27" s="1"/>
    </row>
    <row r="28" spans="1:5" ht="15" customHeight="1" x14ac:dyDescent="0.25">
      <c r="A28" s="1"/>
      <c r="B28" s="26" t="s">
        <v>117</v>
      </c>
      <c r="C28" s="52"/>
      <c r="D28" s="19"/>
      <c r="E28" s="1"/>
    </row>
    <row r="29" spans="1:5" x14ac:dyDescent="0.25">
      <c r="A29" s="1"/>
      <c r="B29" s="72" t="s">
        <v>118</v>
      </c>
      <c r="C29" s="10">
        <f>'Fane 7. Kontrol af ØR2022'!E15</f>
        <v>-6978752</v>
      </c>
      <c r="D29" s="11" t="s">
        <v>3</v>
      </c>
      <c r="E29" s="1"/>
    </row>
    <row r="30" spans="1:5" x14ac:dyDescent="0.25">
      <c r="A30" s="1"/>
      <c r="B30" s="26" t="s">
        <v>138</v>
      </c>
      <c r="C30" s="52"/>
      <c r="D30" s="19"/>
      <c r="E30" s="1"/>
    </row>
    <row r="31" spans="1:5" x14ac:dyDescent="0.25">
      <c r="A31" s="1"/>
      <c r="B31" s="72" t="s">
        <v>139</v>
      </c>
      <c r="C31" s="10">
        <f>'Fane 8. Skattesagen'!G13</f>
        <v>0</v>
      </c>
      <c r="D31" s="11" t="s">
        <v>3</v>
      </c>
      <c r="E31" s="1"/>
    </row>
    <row r="32" spans="1:5" x14ac:dyDescent="0.25">
      <c r="A32" s="1"/>
      <c r="B32" s="51" t="s">
        <v>126</v>
      </c>
      <c r="C32" s="33">
        <f>SUM(C19,C21,C27,C29,C31)</f>
        <v>61691796.921992093</v>
      </c>
      <c r="D32" s="19" t="s">
        <v>3</v>
      </c>
      <c r="E32" s="1"/>
    </row>
    <row r="33" spans="1:5" x14ac:dyDescent="0.25">
      <c r="A33" s="1"/>
      <c r="B33" s="1" t="s">
        <v>168</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x0EtRiPfD5cYkNoienRmecaNKD13ulsQuZEMM8YxjCh6sMuaGT8I3wP+0wBmiflHU9xb0JDLKNq7mlNt6QnzSA==" saltValue="DByQ+q49gMT3Eyw7DlGiU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199</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1" t="s">
        <v>12</v>
      </c>
      <c r="C7" s="52"/>
      <c r="D7" s="19"/>
      <c r="E7" s="1"/>
    </row>
    <row r="8" spans="1:5" ht="15" customHeight="1" x14ac:dyDescent="0.25">
      <c r="A8" s="1"/>
      <c r="B8" s="54" t="s">
        <v>127</v>
      </c>
      <c r="C8" s="7">
        <f>'Fane 2.1. Økonomisk ramme 2024'!C19</f>
        <v>31531441.911125537</v>
      </c>
      <c r="D8" s="8" t="s">
        <v>3</v>
      </c>
      <c r="E8" s="1"/>
    </row>
    <row r="9" spans="1:5" ht="15" customHeight="1" x14ac:dyDescent="0.25">
      <c r="A9" s="1"/>
      <c r="B9" s="29" t="s">
        <v>17</v>
      </c>
      <c r="C9" s="9">
        <f>SUM(C8:C8)*'Fane 13. Nøgletal'!C16</f>
        <v>2547740.5064189434</v>
      </c>
      <c r="D9" s="8" t="s">
        <v>3</v>
      </c>
      <c r="E9" s="1"/>
    </row>
    <row r="10" spans="1:5" ht="15" customHeight="1" x14ac:dyDescent="0.25">
      <c r="A10" s="1"/>
      <c r="B10" s="29" t="s">
        <v>9</v>
      </c>
      <c r="C10" s="9">
        <f>-SUM(C8:C9)*'Fane 5. Individuelt eff. krav'!G9</f>
        <v>-606959.80190471001</v>
      </c>
      <c r="D10" s="8" t="s">
        <v>3</v>
      </c>
      <c r="E10" s="1"/>
    </row>
    <row r="11" spans="1:5" ht="15" customHeight="1" x14ac:dyDescent="0.25">
      <c r="A11" s="1"/>
      <c r="B11" s="29" t="s">
        <v>22</v>
      </c>
      <c r="C11" s="9">
        <f>-'Fane 4.1. Gen. krav - drift'!G54</f>
        <v>-368544.40990776336</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33103678.205732014</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f>
        <v>40139946.857344575</v>
      </c>
      <c r="D15" s="11" t="s">
        <v>3</v>
      </c>
      <c r="E15" s="1"/>
    </row>
    <row r="16" spans="1:5" x14ac:dyDescent="0.25">
      <c r="A16" s="1"/>
      <c r="B16" s="26" t="s">
        <v>117</v>
      </c>
      <c r="C16" s="52"/>
      <c r="D16" s="19"/>
      <c r="E16" s="1"/>
    </row>
    <row r="17" spans="1:5" ht="15" customHeight="1" x14ac:dyDescent="0.25">
      <c r="A17" s="1"/>
      <c r="B17" s="72" t="s">
        <v>118</v>
      </c>
      <c r="C17" s="10">
        <f>'Fane 7. Kontrol af ØR2022'!E33</f>
        <v>-1504864</v>
      </c>
      <c r="D17" s="11" t="s">
        <v>3</v>
      </c>
      <c r="E17" s="1"/>
    </row>
    <row r="18" spans="1:5" x14ac:dyDescent="0.25">
      <c r="A18" s="1"/>
      <c r="B18" s="26" t="s">
        <v>138</v>
      </c>
      <c r="C18" s="52"/>
      <c r="D18" s="19"/>
      <c r="E18" s="1"/>
    </row>
    <row r="19" spans="1:5" x14ac:dyDescent="0.25">
      <c r="A19" s="1"/>
      <c r="B19" s="72" t="s">
        <v>139</v>
      </c>
      <c r="C19" s="10">
        <f>'Fane 8. Skattesagen'!G13</f>
        <v>0</v>
      </c>
      <c r="D19" s="11" t="s">
        <v>3</v>
      </c>
      <c r="E19" s="1"/>
    </row>
    <row r="20" spans="1:5" x14ac:dyDescent="0.25">
      <c r="A20" s="1"/>
      <c r="B20" s="51" t="s">
        <v>128</v>
      </c>
      <c r="C20" s="12">
        <f>SUM(C13,C15,C17,C19)</f>
        <v>71738761.063076586</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6bjyCbPzNdVC+Rh0Kvv7M+O/gDy8S7HEW5253Q5IG9XZftpm7heF5ArKSHu6QWM0rSaCDzjG3C5HstnzERMfPw==" saltValue="C8WhJ2Fa+h5R2sUg23EdY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200</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1" t="s">
        <v>12</v>
      </c>
      <c r="C7" s="52"/>
      <c r="D7" s="19"/>
      <c r="E7" s="1"/>
    </row>
    <row r="8" spans="1:5" ht="15" customHeight="1" x14ac:dyDescent="0.25">
      <c r="A8" s="1"/>
      <c r="B8" s="54" t="s">
        <v>142</v>
      </c>
      <c r="C8" s="7">
        <f>'Fane 2.2. Økonomisk ramme 2025'!C13</f>
        <v>33103678.205732014</v>
      </c>
      <c r="D8" s="8" t="s">
        <v>3</v>
      </c>
      <c r="E8" s="1"/>
    </row>
    <row r="9" spans="1:5" ht="15" customHeight="1" x14ac:dyDescent="0.25">
      <c r="A9" s="1"/>
      <c r="B9" s="29" t="s">
        <v>17</v>
      </c>
      <c r="C9" s="9">
        <f>SUM(C8:C8)*'Fane 13. Nøgletal'!C16</f>
        <v>2674777.1990231466</v>
      </c>
      <c r="D9" s="8" t="s">
        <v>3</v>
      </c>
      <c r="E9" s="1"/>
    </row>
    <row r="10" spans="1:5" ht="15" customHeight="1" x14ac:dyDescent="0.25">
      <c r="A10" s="1"/>
      <c r="B10" s="29" t="s">
        <v>9</v>
      </c>
      <c r="C10" s="9">
        <f>-SUM(C8:C9)*'Fane 5. Individuelt eff. krav'!G9</f>
        <v>-637224.33064435609</v>
      </c>
      <c r="D10" s="8" t="s">
        <v>3</v>
      </c>
      <c r="E10" s="1"/>
    </row>
    <row r="11" spans="1:5" ht="15" customHeight="1" x14ac:dyDescent="0.25">
      <c r="A11" s="1"/>
      <c r="B11" s="29" t="s">
        <v>22</v>
      </c>
      <c r="C11" s="9">
        <f>-'Fane 4.1. Gen. krav - drift'!G59</f>
        <v>-390356.3422637445</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34750874.731847063</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Nøgletal'!C16)^2</f>
        <v>43383254.563418016</v>
      </c>
      <c r="D15" s="11" t="s">
        <v>3</v>
      </c>
      <c r="E15" s="1"/>
    </row>
    <row r="16" spans="1:5" x14ac:dyDescent="0.25">
      <c r="A16" s="1"/>
      <c r="B16" s="51" t="s">
        <v>117</v>
      </c>
      <c r="C16" s="52"/>
      <c r="D16" s="19"/>
      <c r="E16" s="1"/>
    </row>
    <row r="17" spans="1:5" x14ac:dyDescent="0.25">
      <c r="A17" s="1"/>
      <c r="B17" s="53" t="s">
        <v>118</v>
      </c>
      <c r="C17" s="10">
        <f>'Fane 7. Kontrol af ØR2022'!E33</f>
        <v>-1504864</v>
      </c>
      <c r="D17" s="11" t="s">
        <v>3</v>
      </c>
      <c r="E17" s="1"/>
    </row>
    <row r="18" spans="1:5" ht="15" customHeight="1" x14ac:dyDescent="0.25">
      <c r="A18" s="1"/>
      <c r="B18" s="26" t="s">
        <v>138</v>
      </c>
      <c r="C18" s="52"/>
      <c r="D18" s="19"/>
      <c r="E18" s="1"/>
    </row>
    <row r="19" spans="1:5" ht="15" customHeight="1" x14ac:dyDescent="0.25">
      <c r="A19" s="1"/>
      <c r="B19" s="72" t="s">
        <v>139</v>
      </c>
      <c r="C19" s="10">
        <f>'Fane 8. Skattesagen'!G14</f>
        <v>0</v>
      </c>
      <c r="D19" s="11" t="s">
        <v>3</v>
      </c>
      <c r="E19" s="1"/>
    </row>
    <row r="20" spans="1:5" x14ac:dyDescent="0.25">
      <c r="A20" s="1"/>
      <c r="B20" s="51" t="s">
        <v>143</v>
      </c>
      <c r="C20" s="12">
        <f>SUM(C13,C15,C17,C19)</f>
        <v>76629265.295265079</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5M0QA99+yeDeAgIREfSRNpT1pooq77H+Bck1rH9eBIWXz6eg3oKqtgHjtxXbZbh6ptoxhSxsY6SrZEFuYHFnJQ==" saltValue="vAo69RHc/NF8k2Ot4pICm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204</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1" t="s">
        <v>12</v>
      </c>
      <c r="C7" s="52"/>
      <c r="D7" s="19"/>
      <c r="E7" s="1"/>
    </row>
    <row r="8" spans="1:5" ht="15" customHeight="1" x14ac:dyDescent="0.25">
      <c r="A8" s="1"/>
      <c r="B8" s="54" t="s">
        <v>203</v>
      </c>
      <c r="C8" s="7">
        <f>'Fane 2.3. Økonomisk ramme 2026'!C13</f>
        <v>34750874.731847063</v>
      </c>
      <c r="D8" s="8" t="s">
        <v>3</v>
      </c>
      <c r="E8" s="1"/>
    </row>
    <row r="9" spans="1:5" ht="15" customHeight="1" x14ac:dyDescent="0.25">
      <c r="A9" s="1"/>
      <c r="B9" s="29" t="s">
        <v>17</v>
      </c>
      <c r="C9" s="9">
        <f>SUM(C8:C8)*'Fane 13. Nøgletal'!C16</f>
        <v>2807870.6783332424</v>
      </c>
      <c r="D9" s="8" t="s">
        <v>3</v>
      </c>
      <c r="E9" s="1"/>
    </row>
    <row r="10" spans="1:5" ht="15" customHeight="1" x14ac:dyDescent="0.25">
      <c r="A10" s="1"/>
      <c r="B10" s="29" t="s">
        <v>9</v>
      </c>
      <c r="C10" s="9">
        <f>-SUM(C8:C9)*'Fane 5. Individuelt eff. krav'!G9</f>
        <v>-668931.79521279864</v>
      </c>
      <c r="D10" s="8" t="s">
        <v>3</v>
      </c>
      <c r="E10" s="1"/>
    </row>
    <row r="11" spans="1:5" ht="15" customHeight="1" x14ac:dyDescent="0.25">
      <c r="A11" s="1"/>
      <c r="B11" s="29" t="s">
        <v>22</v>
      </c>
      <c r="C11" s="9">
        <f>-'Fane 4.1. Gen. krav - drift'!G64</f>
        <v>-413459.19202428195</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36476354.422943227</v>
      </c>
      <c r="D13" s="11" t="s">
        <v>3</v>
      </c>
      <c r="E13" s="1"/>
    </row>
    <row r="14" spans="1:5" x14ac:dyDescent="0.25">
      <c r="A14" s="1"/>
      <c r="B14" s="51" t="s">
        <v>11</v>
      </c>
      <c r="C14" s="52"/>
      <c r="D14" s="19"/>
      <c r="E14" s="1"/>
    </row>
    <row r="15" spans="1:5" ht="15" customHeight="1" x14ac:dyDescent="0.25">
      <c r="A15" s="1"/>
      <c r="B15" s="53" t="s">
        <v>11</v>
      </c>
      <c r="C15" s="10">
        <f>'Fane 6. Ikke-påvirkelige omk.'!C20*(1+'Fane 13. Nøgletal'!C16)^3</f>
        <v>46888621.532142192</v>
      </c>
      <c r="D15" s="11" t="s">
        <v>3</v>
      </c>
      <c r="E15" s="1"/>
    </row>
    <row r="16" spans="1:5" x14ac:dyDescent="0.25">
      <c r="A16" s="1"/>
      <c r="B16" s="51" t="s">
        <v>117</v>
      </c>
      <c r="C16" s="52"/>
      <c r="D16" s="19"/>
      <c r="E16" s="1"/>
    </row>
    <row r="17" spans="1:5" x14ac:dyDescent="0.25">
      <c r="A17" s="1"/>
      <c r="B17" s="53" t="s">
        <v>118</v>
      </c>
      <c r="C17" s="10">
        <v>0</v>
      </c>
      <c r="D17" s="11" t="s">
        <v>3</v>
      </c>
      <c r="E17" s="1"/>
    </row>
    <row r="18" spans="1:5" x14ac:dyDescent="0.25">
      <c r="A18" s="1"/>
      <c r="B18" s="26" t="s">
        <v>138</v>
      </c>
      <c r="C18" s="52"/>
      <c r="D18" s="19"/>
      <c r="E18" s="1"/>
    </row>
    <row r="19" spans="1:5" x14ac:dyDescent="0.25">
      <c r="A19" s="1"/>
      <c r="B19" s="72" t="s">
        <v>139</v>
      </c>
      <c r="C19" s="10">
        <f>'Fane 8. Skattesagen'!G15</f>
        <v>0</v>
      </c>
      <c r="D19" s="11" t="s">
        <v>3</v>
      </c>
      <c r="E19" s="1"/>
    </row>
    <row r="20" spans="1:5" x14ac:dyDescent="0.25">
      <c r="A20" s="1"/>
      <c r="B20" s="51" t="s">
        <v>205</v>
      </c>
      <c r="C20" s="12">
        <f>SUM(C13,C15,C17,C19)</f>
        <v>83364975.955085427</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dBN84QzBPM3/c/JPzcXGUowBcSA2BL5s5FHUMP5w23u2H/cEt6LvMqztfbwN2rSK8hjrVLt7LEPz38/NjXPHOA==" saltValue="/wBFb0DKn4DpsDCNRF38v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00" t="s">
        <v>201</v>
      </c>
      <c r="C3" s="100"/>
      <c r="D3" s="100"/>
      <c r="E3" s="1"/>
    </row>
    <row r="4" spans="1:5" x14ac:dyDescent="0.25">
      <c r="A4" s="1"/>
      <c r="B4" s="100"/>
      <c r="C4" s="100"/>
      <c r="D4" s="100"/>
      <c r="E4" s="1"/>
    </row>
    <row r="5" spans="1:5" x14ac:dyDescent="0.25">
      <c r="A5" s="1"/>
      <c r="B5" s="1"/>
      <c r="C5" s="1"/>
      <c r="D5" s="1"/>
      <c r="E5" s="1"/>
    </row>
    <row r="6" spans="1:5" x14ac:dyDescent="0.25">
      <c r="A6" s="1"/>
      <c r="B6" s="1"/>
      <c r="C6" s="1"/>
      <c r="D6" s="1"/>
      <c r="E6" s="1"/>
    </row>
    <row r="7" spans="1:5" x14ac:dyDescent="0.25">
      <c r="A7" s="1"/>
      <c r="B7" s="51" t="s">
        <v>202</v>
      </c>
      <c r="C7" s="52"/>
      <c r="D7" s="19"/>
      <c r="E7" s="1"/>
    </row>
    <row r="8" spans="1:5" x14ac:dyDescent="0.25">
      <c r="A8" s="1"/>
      <c r="B8" s="54" t="s">
        <v>108</v>
      </c>
      <c r="C8" s="7">
        <v>28263085.411760997</v>
      </c>
      <c r="D8" s="8" t="s">
        <v>3</v>
      </c>
      <c r="E8" s="1"/>
    </row>
    <row r="9" spans="1:5" x14ac:dyDescent="0.25">
      <c r="A9" s="1"/>
      <c r="B9" s="24" t="s">
        <v>33</v>
      </c>
      <c r="C9" s="7">
        <v>954214.26720000012</v>
      </c>
      <c r="D9" s="8" t="s">
        <v>3</v>
      </c>
      <c r="E9" s="1"/>
    </row>
    <row r="10" spans="1:5" x14ac:dyDescent="0.25">
      <c r="A10" s="1"/>
      <c r="B10" s="24" t="s">
        <v>34</v>
      </c>
      <c r="C10" s="9">
        <v>815732.79960000003</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1069175.9562367715</v>
      </c>
      <c r="D15" s="8" t="s">
        <v>3</v>
      </c>
      <c r="E15" s="1"/>
    </row>
    <row r="16" spans="1:5" x14ac:dyDescent="0.25">
      <c r="A16" s="1"/>
      <c r="B16" s="24" t="s">
        <v>9</v>
      </c>
      <c r="C16" s="9">
        <v>-553939.05989555898</v>
      </c>
      <c r="D16" s="8" t="s">
        <v>3</v>
      </c>
      <c r="E16" s="1"/>
    </row>
    <row r="17" spans="1:5" x14ac:dyDescent="0.25">
      <c r="A17" s="1"/>
      <c r="B17" s="24" t="s">
        <v>22</v>
      </c>
      <c r="C17" s="9">
        <v>-340842.43412075541</v>
      </c>
      <c r="D17" s="8" t="s">
        <v>3</v>
      </c>
      <c r="E17" s="1"/>
    </row>
    <row r="18" spans="1:5" x14ac:dyDescent="0.25">
      <c r="A18" s="1"/>
      <c r="B18" s="24" t="s">
        <v>23</v>
      </c>
      <c r="C18" s="9">
        <v>0</v>
      </c>
      <c r="D18" s="8" t="s">
        <v>3</v>
      </c>
      <c r="E18" s="1"/>
    </row>
    <row r="19" spans="1:5" x14ac:dyDescent="0.25">
      <c r="A19" s="1"/>
      <c r="B19" s="73" t="s">
        <v>19</v>
      </c>
      <c r="C19" s="10">
        <v>30207426.940781455</v>
      </c>
      <c r="D19" s="11" t="s">
        <v>3</v>
      </c>
      <c r="E19" s="1"/>
    </row>
    <row r="20" spans="1:5" x14ac:dyDescent="0.25">
      <c r="A20" s="1"/>
      <c r="B20" s="51" t="s">
        <v>11</v>
      </c>
      <c r="C20" s="52"/>
      <c r="D20" s="19"/>
      <c r="E20" s="1"/>
    </row>
    <row r="21" spans="1:5" x14ac:dyDescent="0.25">
      <c r="A21" s="1"/>
      <c r="B21" s="53" t="s">
        <v>11</v>
      </c>
      <c r="C21" s="10">
        <v>36579242.684306882</v>
      </c>
      <c r="D21" s="11" t="s">
        <v>3</v>
      </c>
      <c r="E21" s="1"/>
    </row>
    <row r="22" spans="1:5" x14ac:dyDescent="0.25">
      <c r="A22" s="1"/>
      <c r="B22" s="51" t="s">
        <v>75</v>
      </c>
      <c r="C22" s="52"/>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3" t="s">
        <v>76</v>
      </c>
      <c r="C27" s="56">
        <v>0</v>
      </c>
      <c r="D27" s="11" t="s">
        <v>3</v>
      </c>
      <c r="E27" s="1"/>
    </row>
    <row r="28" spans="1:5" x14ac:dyDescent="0.25">
      <c r="A28" s="1"/>
      <c r="B28" s="26" t="s">
        <v>117</v>
      </c>
      <c r="C28" s="52"/>
      <c r="D28" s="19"/>
      <c r="E28" s="1"/>
    </row>
    <row r="29" spans="1:5" x14ac:dyDescent="0.25">
      <c r="A29" s="1"/>
      <c r="B29" s="72" t="s">
        <v>118</v>
      </c>
      <c r="C29" s="10">
        <v>-6978752.3635455966</v>
      </c>
      <c r="D29" s="11" t="s">
        <v>3</v>
      </c>
      <c r="E29" s="1"/>
    </row>
    <row r="30" spans="1:5" x14ac:dyDescent="0.25">
      <c r="A30" s="1"/>
      <c r="B30" s="26" t="s">
        <v>138</v>
      </c>
      <c r="C30" s="52"/>
      <c r="D30" s="19"/>
      <c r="E30" s="1"/>
    </row>
    <row r="31" spans="1:5" x14ac:dyDescent="0.25">
      <c r="A31" s="1"/>
      <c r="B31" s="72" t="s">
        <v>139</v>
      </c>
      <c r="C31" s="10">
        <v>0</v>
      </c>
      <c r="D31" s="11" t="s">
        <v>3</v>
      </c>
      <c r="E31" s="1"/>
    </row>
    <row r="32" spans="1:5" x14ac:dyDescent="0.25">
      <c r="A32" s="1"/>
      <c r="B32" s="51" t="s">
        <v>239</v>
      </c>
      <c r="C32" s="33">
        <v>59807917.261542737</v>
      </c>
      <c r="D32" s="19" t="s">
        <v>3</v>
      </c>
      <c r="E32" s="1"/>
    </row>
    <row r="33" spans="1:5" ht="30" customHeight="1" x14ac:dyDescent="0.25">
      <c r="A33" s="1"/>
      <c r="B33" s="99" t="s">
        <v>240</v>
      </c>
      <c r="C33" s="99"/>
      <c r="D33" s="9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y0ToHNWaWQZgvPHU8c0M2VkiO6B0kCIlmFTKOCrsZOJOwsW5uyTO4IbNSF6VmaWaBV6Mr//pXlnbJWeMJ23ZbQ==" saltValue="Tb6gZl7ZElNIf+D40B1W4w=="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100" t="s">
        <v>90</v>
      </c>
      <c r="C1" s="100"/>
      <c r="D1" s="100"/>
      <c r="E1" s="100"/>
      <c r="F1" s="100"/>
      <c r="G1" s="100"/>
      <c r="H1" s="100"/>
      <c r="I1" s="1"/>
    </row>
    <row r="2" spans="1:9" ht="15" customHeight="1" x14ac:dyDescent="0.25">
      <c r="A2" s="1"/>
      <c r="B2" s="100"/>
      <c r="C2" s="100"/>
      <c r="D2" s="100"/>
      <c r="E2" s="100"/>
      <c r="F2" s="100"/>
      <c r="G2" s="100"/>
      <c r="H2" s="100"/>
      <c r="I2" s="1"/>
    </row>
    <row r="3" spans="1:9" ht="15" customHeight="1" x14ac:dyDescent="0.25">
      <c r="A3" s="1"/>
      <c r="B3" s="100"/>
      <c r="C3" s="100"/>
      <c r="D3" s="100"/>
      <c r="E3" s="100"/>
      <c r="F3" s="100"/>
      <c r="G3" s="100"/>
      <c r="H3" s="100"/>
      <c r="I3" s="1"/>
    </row>
    <row r="4" spans="1:9" x14ac:dyDescent="0.25">
      <c r="A4" s="1"/>
      <c r="B4" s="101" t="s">
        <v>44</v>
      </c>
      <c r="C4" s="102"/>
      <c r="D4" s="102"/>
      <c r="E4" s="102"/>
      <c r="F4" s="102"/>
      <c r="G4" s="102"/>
      <c r="H4" s="103"/>
      <c r="I4" s="1"/>
    </row>
    <row r="5" spans="1:9" x14ac:dyDescent="0.25">
      <c r="A5" s="1"/>
      <c r="B5" s="104" t="s">
        <v>36</v>
      </c>
      <c r="C5" s="105"/>
      <c r="D5" s="105"/>
      <c r="E5" s="105"/>
      <c r="F5" s="106"/>
      <c r="G5" s="47">
        <v>15738902.464875489</v>
      </c>
      <c r="H5" s="14" t="s">
        <v>3</v>
      </c>
      <c r="I5" s="1"/>
    </row>
    <row r="6" spans="1:9" x14ac:dyDescent="0.25">
      <c r="A6" s="1"/>
      <c r="B6" s="104" t="s">
        <v>37</v>
      </c>
      <c r="C6" s="105"/>
      <c r="D6" s="105"/>
      <c r="E6" s="105"/>
      <c r="F6" s="106"/>
      <c r="G6" s="22">
        <f>G5*'Fane 13. Nøgletal'!C33</f>
        <v>314778.04929750977</v>
      </c>
      <c r="H6" s="14" t="s">
        <v>3</v>
      </c>
      <c r="I6" s="1"/>
    </row>
    <row r="7" spans="1:9" x14ac:dyDescent="0.25">
      <c r="A7" s="1"/>
      <c r="B7" s="51"/>
      <c r="C7" s="52"/>
      <c r="D7" s="52"/>
      <c r="E7" s="52"/>
      <c r="F7" s="52"/>
      <c r="G7" s="35"/>
      <c r="H7" s="19"/>
      <c r="I7" s="1"/>
    </row>
    <row r="8" spans="1:9" x14ac:dyDescent="0.25">
      <c r="A8" s="1"/>
      <c r="B8" s="1"/>
      <c r="C8" s="1"/>
      <c r="D8" s="1"/>
      <c r="E8" s="1"/>
      <c r="F8" s="1"/>
      <c r="G8" s="36"/>
      <c r="H8" s="1"/>
      <c r="I8" s="1"/>
    </row>
    <row r="9" spans="1:9" x14ac:dyDescent="0.25">
      <c r="A9" s="1"/>
      <c r="B9" s="101" t="s">
        <v>45</v>
      </c>
      <c r="C9" s="102"/>
      <c r="D9" s="102"/>
      <c r="E9" s="102"/>
      <c r="F9" s="102"/>
      <c r="G9" s="102"/>
      <c r="H9" s="103"/>
      <c r="I9" s="1"/>
    </row>
    <row r="10" spans="1:9" x14ac:dyDescent="0.25">
      <c r="A10" s="1"/>
      <c r="B10" s="104" t="s">
        <v>38</v>
      </c>
      <c r="C10" s="105"/>
      <c r="D10" s="105"/>
      <c r="E10" s="105"/>
      <c r="F10" s="106"/>
      <c r="G10" s="22">
        <f>(G5-G6)*(1+'Fane 13. Nøgletal'!C9)</f>
        <v>15620010.795655819</v>
      </c>
      <c r="H10" s="14" t="s">
        <v>3</v>
      </c>
      <c r="I10" s="1"/>
    </row>
    <row r="11" spans="1:9" x14ac:dyDescent="0.25">
      <c r="A11" s="1"/>
      <c r="B11" s="107" t="s">
        <v>228</v>
      </c>
      <c r="C11" s="108"/>
      <c r="D11" s="108"/>
      <c r="E11" s="108"/>
      <c r="F11" s="109"/>
      <c r="G11" s="47">
        <v>0</v>
      </c>
      <c r="H11" s="14" t="s">
        <v>3</v>
      </c>
      <c r="I11" s="1"/>
    </row>
    <row r="12" spans="1:9" x14ac:dyDescent="0.25">
      <c r="A12" s="1"/>
      <c r="B12" s="104" t="s">
        <v>39</v>
      </c>
      <c r="C12" s="105"/>
      <c r="D12" s="105"/>
      <c r="E12" s="105"/>
      <c r="F12" s="106"/>
      <c r="G12" s="22">
        <f>(G10+G11)*'Fane 13. Nøgletal'!C33</f>
        <v>312400.21591311641</v>
      </c>
      <c r="H12" s="14" t="s">
        <v>3</v>
      </c>
      <c r="I12" s="1"/>
    </row>
    <row r="13" spans="1:9" x14ac:dyDescent="0.25">
      <c r="A13" s="1"/>
      <c r="B13" s="51"/>
      <c r="C13" s="52"/>
      <c r="D13" s="52"/>
      <c r="E13" s="52"/>
      <c r="F13" s="52"/>
      <c r="G13" s="35"/>
      <c r="H13" s="19"/>
      <c r="I13" s="1"/>
    </row>
    <row r="14" spans="1:9" x14ac:dyDescent="0.25">
      <c r="A14" s="1"/>
      <c r="B14" s="1"/>
      <c r="C14" s="1"/>
      <c r="D14" s="1"/>
      <c r="E14" s="1"/>
      <c r="F14" s="1"/>
      <c r="G14" s="36"/>
      <c r="H14" s="1"/>
      <c r="I14" s="1"/>
    </row>
    <row r="15" spans="1:9" x14ac:dyDescent="0.25">
      <c r="A15" s="1"/>
      <c r="B15" s="101" t="s">
        <v>46</v>
      </c>
      <c r="C15" s="102"/>
      <c r="D15" s="102"/>
      <c r="E15" s="102"/>
      <c r="F15" s="102"/>
      <c r="G15" s="102"/>
      <c r="H15" s="103"/>
      <c r="I15" s="1"/>
    </row>
    <row r="16" spans="1:9" x14ac:dyDescent="0.25">
      <c r="A16" s="1"/>
      <c r="B16" s="104" t="s">
        <v>40</v>
      </c>
      <c r="C16" s="105"/>
      <c r="D16" s="105"/>
      <c r="E16" s="105"/>
      <c r="F16" s="106"/>
      <c r="G16" s="22">
        <f>(G10+G11-G12)*(1+'Fane 13. Nøgletal'!C11)</f>
        <v>15566309.198540352</v>
      </c>
      <c r="H16" s="14" t="s">
        <v>3</v>
      </c>
      <c r="I16" s="1"/>
    </row>
    <row r="17" spans="1:9" x14ac:dyDescent="0.25">
      <c r="A17" s="1"/>
      <c r="B17" s="104" t="s">
        <v>100</v>
      </c>
      <c r="C17" s="105"/>
      <c r="D17" s="105"/>
      <c r="E17" s="105"/>
      <c r="F17" s="106"/>
      <c r="G17" s="47">
        <v>-319079.72669427894</v>
      </c>
      <c r="H17" s="14" t="s">
        <v>3</v>
      </c>
      <c r="I17" s="1"/>
    </row>
    <row r="18" spans="1:9" x14ac:dyDescent="0.25">
      <c r="A18" s="1"/>
      <c r="B18" s="107" t="s">
        <v>229</v>
      </c>
      <c r="C18" s="108"/>
      <c r="D18" s="108"/>
      <c r="E18" s="108"/>
      <c r="F18" s="109"/>
      <c r="G18" s="47">
        <v>0</v>
      </c>
      <c r="H18" s="14" t="s">
        <v>3</v>
      </c>
      <c r="I18" s="1"/>
    </row>
    <row r="19" spans="1:9" x14ac:dyDescent="0.25">
      <c r="A19" s="1"/>
      <c r="B19" s="104" t="s">
        <v>41</v>
      </c>
      <c r="C19" s="105"/>
      <c r="D19" s="105"/>
      <c r="E19" s="105"/>
      <c r="F19" s="106"/>
      <c r="G19" s="22">
        <f>SUM(G16:G18)*'Fane 13. Nøgletal'!C33</f>
        <v>304944.58943692147</v>
      </c>
      <c r="H19" s="14" t="s">
        <v>3</v>
      </c>
      <c r="I19" s="1"/>
    </row>
    <row r="20" spans="1:9" x14ac:dyDescent="0.25">
      <c r="A20" s="1"/>
      <c r="B20" s="51"/>
      <c r="C20" s="52"/>
      <c r="D20" s="52"/>
      <c r="E20" s="52"/>
      <c r="F20" s="52"/>
      <c r="G20" s="35"/>
      <c r="H20" s="19"/>
      <c r="I20" s="1"/>
    </row>
    <row r="21" spans="1:9" x14ac:dyDescent="0.25">
      <c r="A21" s="1"/>
      <c r="B21" s="1"/>
      <c r="C21" s="1"/>
      <c r="D21" s="1"/>
      <c r="E21" s="1"/>
      <c r="F21" s="1"/>
      <c r="G21" s="36"/>
      <c r="H21" s="1"/>
      <c r="I21" s="1"/>
    </row>
    <row r="22" spans="1:9" x14ac:dyDescent="0.25">
      <c r="A22" s="1"/>
      <c r="B22" s="101" t="s">
        <v>47</v>
      </c>
      <c r="C22" s="102"/>
      <c r="D22" s="102"/>
      <c r="E22" s="102"/>
      <c r="F22" s="102"/>
      <c r="G22" s="102"/>
      <c r="H22" s="103"/>
      <c r="I22" s="1"/>
    </row>
    <row r="23" spans="1:9" x14ac:dyDescent="0.25">
      <c r="A23" s="1"/>
      <c r="B23" s="104" t="s">
        <v>42</v>
      </c>
      <c r="C23" s="105"/>
      <c r="D23" s="105"/>
      <c r="E23" s="105"/>
      <c r="F23" s="106"/>
      <c r="G23" s="22">
        <f>(SUM(G16:G18)-G19)*(1+'Fane 13. Nøgletal'!C11)</f>
        <v>15194809.496921865</v>
      </c>
      <c r="H23" s="14" t="s">
        <v>3</v>
      </c>
      <c r="I23" s="1"/>
    </row>
    <row r="24" spans="1:9" x14ac:dyDescent="0.25">
      <c r="A24" s="1"/>
      <c r="B24" s="107" t="s">
        <v>230</v>
      </c>
      <c r="C24" s="108"/>
      <c r="D24" s="108"/>
      <c r="E24" s="108"/>
      <c r="F24" s="109"/>
      <c r="G24" s="47">
        <v>100231.41272364001</v>
      </c>
      <c r="H24" s="14" t="s">
        <v>3</v>
      </c>
      <c r="I24" s="1"/>
    </row>
    <row r="25" spans="1:9" x14ac:dyDescent="0.25">
      <c r="A25" s="1"/>
      <c r="B25" s="104" t="s">
        <v>43</v>
      </c>
      <c r="C25" s="105"/>
      <c r="D25" s="105"/>
      <c r="E25" s="105"/>
      <c r="F25" s="106"/>
      <c r="G25" s="22">
        <f>(G23+G24)*'Fane 13. Nøgletal'!C33</f>
        <v>305900.81819291011</v>
      </c>
      <c r="H25" s="14" t="s">
        <v>3</v>
      </c>
      <c r="I25" s="1"/>
    </row>
    <row r="26" spans="1:9" x14ac:dyDescent="0.25">
      <c r="A26" s="1"/>
      <c r="B26" s="51"/>
      <c r="C26" s="52"/>
      <c r="D26" s="52"/>
      <c r="E26" s="52"/>
      <c r="F26" s="52"/>
      <c r="G26" s="35"/>
      <c r="H26" s="19"/>
      <c r="I26" s="1"/>
    </row>
    <row r="27" spans="1:9" x14ac:dyDescent="0.25">
      <c r="A27" s="1"/>
      <c r="B27" s="1"/>
      <c r="C27" s="1"/>
      <c r="D27" s="1"/>
      <c r="E27" s="1"/>
      <c r="F27" s="1"/>
      <c r="G27" s="36"/>
      <c r="H27" s="1"/>
      <c r="I27" s="1"/>
    </row>
    <row r="28" spans="1:9" x14ac:dyDescent="0.25">
      <c r="A28" s="1"/>
      <c r="B28" s="101" t="s">
        <v>121</v>
      </c>
      <c r="C28" s="102"/>
      <c r="D28" s="102"/>
      <c r="E28" s="102"/>
      <c r="F28" s="102"/>
      <c r="G28" s="102"/>
      <c r="H28" s="103"/>
      <c r="I28" s="1"/>
    </row>
    <row r="29" spans="1:9" x14ac:dyDescent="0.25">
      <c r="A29" s="1"/>
      <c r="B29" s="104" t="s">
        <v>50</v>
      </c>
      <c r="C29" s="105"/>
      <c r="D29" s="105"/>
      <c r="E29" s="105"/>
      <c r="F29" s="106"/>
      <c r="G29" s="22">
        <f>(G23+G24-G25)*(1+'Fane 13. Nøgletal'!C13)</f>
        <v>15172007.600568317</v>
      </c>
      <c r="H29" s="14" t="s">
        <v>3</v>
      </c>
      <c r="I29" s="1"/>
    </row>
    <row r="30" spans="1:9" x14ac:dyDescent="0.25">
      <c r="A30" s="1"/>
      <c r="B30" s="104" t="s">
        <v>231</v>
      </c>
      <c r="C30" s="105"/>
      <c r="D30" s="105"/>
      <c r="E30" s="105"/>
      <c r="F30" s="106"/>
      <c r="G30" s="47">
        <v>37727.986484159999</v>
      </c>
      <c r="H30" s="14" t="s">
        <v>3</v>
      </c>
      <c r="I30" s="1"/>
    </row>
    <row r="31" spans="1:9" x14ac:dyDescent="0.25">
      <c r="A31" s="1"/>
      <c r="B31" s="104" t="s">
        <v>115</v>
      </c>
      <c r="C31" s="105"/>
      <c r="D31" s="105"/>
      <c r="E31" s="105"/>
      <c r="F31" s="106"/>
      <c r="G31" s="22">
        <f>(G29+G30)*'Fane 13. Nøgletal'!C33</f>
        <v>304194.71174104954</v>
      </c>
      <c r="H31" s="14" t="s">
        <v>3</v>
      </c>
      <c r="I31" s="1"/>
    </row>
    <row r="32" spans="1:9" x14ac:dyDescent="0.25">
      <c r="A32" s="1"/>
      <c r="B32" s="51"/>
      <c r="C32" s="52"/>
      <c r="D32" s="52"/>
      <c r="E32" s="52"/>
      <c r="F32" s="52"/>
      <c r="G32" s="35"/>
      <c r="H32" s="19"/>
      <c r="I32" s="1"/>
    </row>
    <row r="33" spans="1:9" x14ac:dyDescent="0.25">
      <c r="A33" s="1"/>
      <c r="B33" s="1"/>
      <c r="C33" s="1"/>
      <c r="D33" s="1"/>
      <c r="E33" s="1"/>
      <c r="F33" s="1"/>
      <c r="G33" s="36"/>
      <c r="H33" s="1"/>
      <c r="I33" s="1"/>
    </row>
    <row r="34" spans="1:9" x14ac:dyDescent="0.25">
      <c r="A34" s="1"/>
      <c r="B34" s="101" t="s">
        <v>122</v>
      </c>
      <c r="C34" s="102"/>
      <c r="D34" s="102"/>
      <c r="E34" s="102"/>
      <c r="F34" s="102"/>
      <c r="G34" s="102"/>
      <c r="H34" s="103"/>
      <c r="I34" s="1"/>
    </row>
    <row r="35" spans="1:9" x14ac:dyDescent="0.25">
      <c r="A35" s="1"/>
      <c r="B35" s="104" t="s">
        <v>69</v>
      </c>
      <c r="C35" s="105"/>
      <c r="D35" s="105"/>
      <c r="E35" s="105"/>
      <c r="F35" s="106"/>
      <c r="G35" s="22">
        <f>(G29+G30-G31)*(1+'Fane 13. Nøgletal'!C13)</f>
        <v>15087388.473990228</v>
      </c>
      <c r="H35" s="14" t="s">
        <v>3</v>
      </c>
      <c r="I35" s="1"/>
    </row>
    <row r="36" spans="1:9" x14ac:dyDescent="0.25">
      <c r="A36" s="1"/>
      <c r="B36" s="104" t="s">
        <v>232</v>
      </c>
      <c r="C36" s="105"/>
      <c r="D36" s="105"/>
      <c r="E36" s="105"/>
      <c r="F36" s="106"/>
      <c r="G36" s="47">
        <v>731044.11258627009</v>
      </c>
      <c r="H36" s="14" t="s">
        <v>3</v>
      </c>
      <c r="I36" s="1"/>
    </row>
    <row r="37" spans="1:9" x14ac:dyDescent="0.25">
      <c r="A37" s="1"/>
      <c r="B37" s="104" t="s">
        <v>123</v>
      </c>
      <c r="C37" s="105"/>
      <c r="D37" s="105"/>
      <c r="E37" s="105"/>
      <c r="F37" s="106"/>
      <c r="G37" s="22">
        <f>(G35+G36)*'Fane 13. Nøgletal'!C33</f>
        <v>316368.65173152997</v>
      </c>
      <c r="H37" s="14" t="s">
        <v>3</v>
      </c>
      <c r="I37" s="1"/>
    </row>
    <row r="38" spans="1:9" x14ac:dyDescent="0.25">
      <c r="A38" s="1"/>
      <c r="B38" s="51"/>
      <c r="C38" s="52"/>
      <c r="D38" s="52"/>
      <c r="E38" s="52"/>
      <c r="F38" s="52"/>
      <c r="G38" s="35"/>
      <c r="H38" s="19"/>
      <c r="I38" s="1"/>
    </row>
    <row r="39" spans="1:9" x14ac:dyDescent="0.25">
      <c r="A39" s="1"/>
      <c r="B39" s="1"/>
      <c r="C39" s="1"/>
      <c r="D39" s="1"/>
      <c r="E39" s="1"/>
      <c r="F39" s="1"/>
      <c r="G39" s="36"/>
      <c r="H39" s="1"/>
      <c r="I39" s="1"/>
    </row>
    <row r="40" spans="1:9" x14ac:dyDescent="0.25">
      <c r="A40" s="1"/>
      <c r="B40" s="101" t="s">
        <v>157</v>
      </c>
      <c r="C40" s="102"/>
      <c r="D40" s="102"/>
      <c r="E40" s="102"/>
      <c r="F40" s="102"/>
      <c r="G40" s="102"/>
      <c r="H40" s="103"/>
      <c r="I40" s="1"/>
    </row>
    <row r="41" spans="1:9" x14ac:dyDescent="0.25">
      <c r="A41" s="1"/>
      <c r="B41" s="104" t="s">
        <v>68</v>
      </c>
      <c r="C41" s="105"/>
      <c r="D41" s="105"/>
      <c r="E41" s="105"/>
      <c r="F41" s="106"/>
      <c r="G41" s="22">
        <f>(G35+G36-G37)*(1+'Fane 13. Nøgletal'!C15)</f>
        <v>16053937.410925452</v>
      </c>
      <c r="H41" s="14" t="s">
        <v>3</v>
      </c>
      <c r="I41" s="1"/>
    </row>
    <row r="42" spans="1:9" x14ac:dyDescent="0.25">
      <c r="A42" s="1"/>
      <c r="B42" s="104" t="s">
        <v>156</v>
      </c>
      <c r="C42" s="105"/>
      <c r="D42" s="105"/>
      <c r="E42" s="105"/>
      <c r="F42" s="106"/>
      <c r="G42" s="22">
        <v>988184.29511232022</v>
      </c>
      <c r="H42" s="14" t="s">
        <v>3</v>
      </c>
      <c r="I42" s="1"/>
    </row>
    <row r="43" spans="1:9" x14ac:dyDescent="0.25">
      <c r="A43" s="1"/>
      <c r="B43" s="104" t="s">
        <v>166</v>
      </c>
      <c r="C43" s="105"/>
      <c r="D43" s="105"/>
      <c r="E43" s="105"/>
      <c r="F43" s="106"/>
      <c r="G43" s="22">
        <f>(G41+G42)*'Fane 13. Nøgletal'!C33</f>
        <v>340842.43412075541</v>
      </c>
      <c r="H43" s="14" t="s">
        <v>3</v>
      </c>
      <c r="I43" s="1"/>
    </row>
    <row r="44" spans="1:9" x14ac:dyDescent="0.25">
      <c r="A44" s="1"/>
      <c r="B44" s="51"/>
      <c r="C44" s="52"/>
      <c r="D44" s="52"/>
      <c r="E44" s="52"/>
      <c r="F44" s="52"/>
      <c r="G44" s="35"/>
      <c r="H44" s="19"/>
      <c r="I44" s="1"/>
    </row>
    <row r="45" spans="1:9" x14ac:dyDescent="0.25">
      <c r="A45" s="1"/>
      <c r="B45" s="1"/>
      <c r="C45" s="1"/>
      <c r="D45" s="1"/>
      <c r="E45" s="1"/>
      <c r="F45" s="1"/>
      <c r="G45" s="36"/>
      <c r="H45" s="1"/>
      <c r="I45" s="1"/>
    </row>
    <row r="46" spans="1:9" x14ac:dyDescent="0.25">
      <c r="A46" s="1"/>
      <c r="B46" s="101" t="s">
        <v>158</v>
      </c>
      <c r="C46" s="102"/>
      <c r="D46" s="102"/>
      <c r="E46" s="102"/>
      <c r="F46" s="102"/>
      <c r="G46" s="102"/>
      <c r="H46" s="103"/>
      <c r="I46" s="1"/>
    </row>
    <row r="47" spans="1:9" x14ac:dyDescent="0.25">
      <c r="A47" s="1"/>
      <c r="B47" s="104" t="s">
        <v>112</v>
      </c>
      <c r="C47" s="105"/>
      <c r="D47" s="105"/>
      <c r="E47" s="105"/>
      <c r="F47" s="106"/>
      <c r="G47" s="22">
        <f>(G41+G42-G43)*(1+'Fane 13. Nøgletal'!C15)</f>
        <v>17295844.813997261</v>
      </c>
      <c r="H47" s="14" t="s">
        <v>3</v>
      </c>
      <c r="I47" s="1"/>
    </row>
    <row r="48" spans="1:9" x14ac:dyDescent="0.25">
      <c r="A48" s="1"/>
      <c r="B48" s="104" t="s">
        <v>206</v>
      </c>
      <c r="C48" s="105"/>
      <c r="D48" s="105"/>
      <c r="E48" s="105"/>
      <c r="F48" s="106"/>
      <c r="G48" s="22">
        <f>('Fane 2.1. Økonomisk ramme 2024'!C9+'Fane 2.1. Økonomisk ramme 2024'!C11+'Fane 2.1. Økonomisk ramme 2024'!C13)*(1+'Fane 13. Nøgletal'!C16)</f>
        <v>101718.30571392</v>
      </c>
      <c r="H48" s="14" t="s">
        <v>3</v>
      </c>
      <c r="I48" s="1"/>
    </row>
    <row r="49" spans="1:9" x14ac:dyDescent="0.25">
      <c r="A49" s="1"/>
      <c r="B49" s="104" t="s">
        <v>167</v>
      </c>
      <c r="C49" s="105"/>
      <c r="D49" s="105"/>
      <c r="E49" s="105"/>
      <c r="F49" s="106"/>
      <c r="G49" s="22">
        <f>G47*'Fane 13. Nøgletal'!C33+G48*'Fane 13. Nøgletal'!C33</f>
        <v>347951.2623942236</v>
      </c>
      <c r="H49" s="14" t="s">
        <v>3</v>
      </c>
      <c r="I49" s="1"/>
    </row>
    <row r="50" spans="1:9" x14ac:dyDescent="0.25">
      <c r="A50" s="1"/>
      <c r="B50" s="51"/>
      <c r="C50" s="52"/>
      <c r="D50" s="52"/>
      <c r="E50" s="52"/>
      <c r="F50" s="52"/>
      <c r="G50" s="35"/>
      <c r="H50" s="19"/>
      <c r="I50" s="1"/>
    </row>
    <row r="51" spans="1:9" x14ac:dyDescent="0.25">
      <c r="A51" s="1"/>
      <c r="B51" s="1"/>
      <c r="C51" s="1"/>
      <c r="D51" s="1"/>
      <c r="E51" s="1"/>
      <c r="F51" s="1"/>
      <c r="G51" s="36"/>
      <c r="H51" s="1"/>
      <c r="I51" s="1"/>
    </row>
    <row r="52" spans="1:9" x14ac:dyDescent="0.25">
      <c r="A52" s="1"/>
      <c r="B52" s="101" t="s">
        <v>133</v>
      </c>
      <c r="C52" s="102"/>
      <c r="D52" s="102"/>
      <c r="E52" s="102"/>
      <c r="F52" s="102"/>
      <c r="G52" s="102"/>
      <c r="H52" s="103"/>
      <c r="I52" s="1"/>
    </row>
    <row r="53" spans="1:9" x14ac:dyDescent="0.25">
      <c r="A53" s="1"/>
      <c r="B53" s="104" t="s">
        <v>134</v>
      </c>
      <c r="C53" s="105"/>
      <c r="D53" s="105"/>
      <c r="E53" s="105"/>
      <c r="F53" s="106"/>
      <c r="G53" s="22">
        <f>(G47+G48-G49)*(1+'Fane 13. Nøgletal'!C16)</f>
        <v>18427220.495388169</v>
      </c>
      <c r="H53" s="14" t="s">
        <v>3</v>
      </c>
      <c r="I53" s="1"/>
    </row>
    <row r="54" spans="1:9" x14ac:dyDescent="0.25">
      <c r="A54" s="1"/>
      <c r="B54" s="104" t="s">
        <v>135</v>
      </c>
      <c r="C54" s="105"/>
      <c r="D54" s="105"/>
      <c r="E54" s="105"/>
      <c r="F54" s="106"/>
      <c r="G54" s="22">
        <f>(G53)*'Fane 13. Nøgletal'!C33</f>
        <v>368544.40990776336</v>
      </c>
      <c r="H54" s="14" t="s">
        <v>3</v>
      </c>
      <c r="I54" s="1"/>
    </row>
    <row r="55" spans="1:9" x14ac:dyDescent="0.25">
      <c r="A55" s="1"/>
      <c r="B55" s="51"/>
      <c r="C55" s="52"/>
      <c r="D55" s="52"/>
      <c r="E55" s="52"/>
      <c r="F55" s="52"/>
      <c r="G55" s="35"/>
      <c r="H55" s="19"/>
      <c r="I55" s="1"/>
    </row>
    <row r="56" spans="1:9" x14ac:dyDescent="0.25">
      <c r="A56" s="1"/>
      <c r="B56" s="1"/>
      <c r="C56" s="1"/>
      <c r="D56" s="1"/>
      <c r="E56" s="1"/>
      <c r="F56" s="1"/>
      <c r="G56" s="36"/>
      <c r="H56" s="1"/>
      <c r="I56" s="1"/>
    </row>
    <row r="57" spans="1:9" x14ac:dyDescent="0.25">
      <c r="A57" s="1"/>
      <c r="B57" s="101" t="s">
        <v>144</v>
      </c>
      <c r="C57" s="102"/>
      <c r="D57" s="102"/>
      <c r="E57" s="102"/>
      <c r="F57" s="102"/>
      <c r="G57" s="102"/>
      <c r="H57" s="103"/>
      <c r="I57" s="1"/>
    </row>
    <row r="58" spans="1:9" x14ac:dyDescent="0.25">
      <c r="A58" s="1"/>
      <c r="B58" s="104" t="s">
        <v>145</v>
      </c>
      <c r="C58" s="105"/>
      <c r="D58" s="105"/>
      <c r="E58" s="105"/>
      <c r="F58" s="106"/>
      <c r="G58" s="22">
        <f>(G53-G54)*(1+'Fane 13. Nøgletal'!C16)</f>
        <v>19517817.113187224</v>
      </c>
      <c r="H58" s="14" t="s">
        <v>3</v>
      </c>
      <c r="I58" s="1"/>
    </row>
    <row r="59" spans="1:9" x14ac:dyDescent="0.25">
      <c r="A59" s="1"/>
      <c r="B59" s="104" t="s">
        <v>146</v>
      </c>
      <c r="C59" s="105"/>
      <c r="D59" s="105"/>
      <c r="E59" s="105"/>
      <c r="F59" s="106"/>
      <c r="G59" s="22">
        <f>(G58)*'Fane 13. Nøgletal'!C33</f>
        <v>390356.3422637445</v>
      </c>
      <c r="H59" s="14" t="s">
        <v>3</v>
      </c>
      <c r="I59" s="1"/>
    </row>
    <row r="60" spans="1:9" x14ac:dyDescent="0.25">
      <c r="A60" s="1"/>
      <c r="B60" s="51"/>
      <c r="C60" s="52"/>
      <c r="D60" s="52"/>
      <c r="E60" s="52"/>
      <c r="F60" s="52"/>
      <c r="G60" s="35"/>
      <c r="H60" s="19"/>
      <c r="I60" s="1"/>
    </row>
    <row r="61" spans="1:9" x14ac:dyDescent="0.25">
      <c r="A61" s="1"/>
      <c r="B61" s="1"/>
      <c r="C61" s="1"/>
      <c r="D61" s="1"/>
      <c r="E61" s="1"/>
      <c r="F61" s="1"/>
      <c r="G61" s="36"/>
      <c r="H61" s="1"/>
      <c r="I61" s="1"/>
    </row>
    <row r="62" spans="1:9" x14ac:dyDescent="0.25">
      <c r="A62" s="1"/>
      <c r="B62" s="101" t="s">
        <v>220</v>
      </c>
      <c r="C62" s="102"/>
      <c r="D62" s="102"/>
      <c r="E62" s="102"/>
      <c r="F62" s="102"/>
      <c r="G62" s="102"/>
      <c r="H62" s="103"/>
      <c r="I62" s="1"/>
    </row>
    <row r="63" spans="1:9" x14ac:dyDescent="0.25">
      <c r="A63" s="1"/>
      <c r="B63" s="104" t="s">
        <v>221</v>
      </c>
      <c r="C63" s="105"/>
      <c r="D63" s="105"/>
      <c r="E63" s="105"/>
      <c r="F63" s="106"/>
      <c r="G63" s="22">
        <f>(G58-G59)*(1+'Fane 13. Nøgletal'!C16)</f>
        <v>20672959.601214096</v>
      </c>
      <c r="H63" s="14" t="s">
        <v>3</v>
      </c>
      <c r="I63" s="1"/>
    </row>
    <row r="64" spans="1:9" x14ac:dyDescent="0.25">
      <c r="A64" s="1"/>
      <c r="B64" s="104" t="s">
        <v>222</v>
      </c>
      <c r="C64" s="105"/>
      <c r="D64" s="105"/>
      <c r="E64" s="105"/>
      <c r="F64" s="106"/>
      <c r="G64" s="22">
        <f>(G63)*'Fane 13. Nøgletal'!C33</f>
        <v>413459.19202428195</v>
      </c>
      <c r="H64" s="14" t="s">
        <v>3</v>
      </c>
      <c r="I64" s="1"/>
    </row>
    <row r="65" spans="1:9" x14ac:dyDescent="0.25">
      <c r="A65" s="1"/>
      <c r="B65" s="51"/>
      <c r="C65" s="52"/>
      <c r="D65" s="52"/>
      <c r="E65" s="52"/>
      <c r="F65" s="52"/>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40vd9ZOGdDTd2I3Izkyl2J4O9gJ8WXYozxovQtEMyFjPJIjTC7GMwNadktGwK48FYKnf54kHjsbNfkh0ZVhJEw==" saltValue="9Ja+se87a9XIYKMFK73Kng==" spinCount="100000" sheet="1" objects="1" scenarios="1"/>
  <mergeCells count="42">
    <mergeCell ref="B16:F16"/>
    <mergeCell ref="B18:F18"/>
    <mergeCell ref="B17:F17"/>
    <mergeCell ref="B19:F19"/>
    <mergeCell ref="B23:F23"/>
    <mergeCell ref="B15:H15"/>
    <mergeCell ref="B1:H3"/>
    <mergeCell ref="B4:H4"/>
    <mergeCell ref="B5:F5"/>
    <mergeCell ref="B6:F6"/>
    <mergeCell ref="B10:F10"/>
    <mergeCell ref="B9:H9"/>
    <mergeCell ref="B11:F11"/>
    <mergeCell ref="B12:F12"/>
    <mergeCell ref="B25:F25"/>
    <mergeCell ref="B35:F35"/>
    <mergeCell ref="B30:F30"/>
    <mergeCell ref="B31:F31"/>
    <mergeCell ref="B22:H22"/>
    <mergeCell ref="B24:F24"/>
    <mergeCell ref="B28:H28"/>
    <mergeCell ref="B29:F29"/>
    <mergeCell ref="B34:H34"/>
    <mergeCell ref="B37:F37"/>
    <mergeCell ref="B46:H46"/>
    <mergeCell ref="B48:F48"/>
    <mergeCell ref="B36:F36"/>
    <mergeCell ref="B57:H57"/>
    <mergeCell ref="B47:F47"/>
    <mergeCell ref="B49:F49"/>
    <mergeCell ref="B40:H40"/>
    <mergeCell ref="B41:F41"/>
    <mergeCell ref="B43:F43"/>
    <mergeCell ref="B42:F42"/>
    <mergeCell ref="B62:H62"/>
    <mergeCell ref="B63:F63"/>
    <mergeCell ref="B64:F64"/>
    <mergeCell ref="B59:F59"/>
    <mergeCell ref="B52:H52"/>
    <mergeCell ref="B53:F53"/>
    <mergeCell ref="B54:F54"/>
    <mergeCell ref="B58:F5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10" t="s">
        <v>91</v>
      </c>
      <c r="C1" s="111"/>
      <c r="D1" s="111"/>
      <c r="E1" s="111"/>
      <c r="F1" s="111"/>
      <c r="G1" s="111"/>
      <c r="H1" s="111"/>
      <c r="I1" s="1"/>
    </row>
    <row r="2" spans="1:9" ht="19.899999999999999" customHeight="1" x14ac:dyDescent="0.25">
      <c r="A2" s="1"/>
      <c r="B2" s="111"/>
      <c r="C2" s="111"/>
      <c r="D2" s="111"/>
      <c r="E2" s="111"/>
      <c r="F2" s="111"/>
      <c r="G2" s="111"/>
      <c r="H2" s="111"/>
      <c r="I2" s="1"/>
    </row>
    <row r="3" spans="1:9" ht="15" customHeight="1" x14ac:dyDescent="0.25">
      <c r="A3" s="1"/>
      <c r="B3" s="112"/>
      <c r="C3" s="112"/>
      <c r="D3" s="112"/>
      <c r="E3" s="112"/>
      <c r="F3" s="112"/>
      <c r="G3" s="112"/>
      <c r="H3" s="112"/>
      <c r="I3" s="1"/>
    </row>
    <row r="4" spans="1:9" x14ac:dyDescent="0.25">
      <c r="A4" s="1"/>
      <c r="B4" s="101" t="s">
        <v>48</v>
      </c>
      <c r="C4" s="102"/>
      <c r="D4" s="102"/>
      <c r="E4" s="102"/>
      <c r="F4" s="102"/>
      <c r="G4" s="102"/>
      <c r="H4" s="103"/>
      <c r="I4" s="1"/>
    </row>
    <row r="5" spans="1:9" x14ac:dyDescent="0.25">
      <c r="A5" s="1"/>
      <c r="B5" s="104" t="s">
        <v>51</v>
      </c>
      <c r="C5" s="105"/>
      <c r="D5" s="105"/>
      <c r="E5" s="105"/>
      <c r="F5" s="106"/>
      <c r="G5" s="47">
        <v>15496287.087623827</v>
      </c>
      <c r="H5" s="14" t="s">
        <v>3</v>
      </c>
      <c r="I5" s="1"/>
    </row>
    <row r="6" spans="1:9" x14ac:dyDescent="0.25">
      <c r="A6" s="1"/>
      <c r="B6" s="104" t="s">
        <v>49</v>
      </c>
      <c r="C6" s="105"/>
      <c r="D6" s="105"/>
      <c r="E6" s="105"/>
      <c r="F6" s="106"/>
      <c r="G6" s="22">
        <f>G5*'Fane 13. Nøgletal'!C21</f>
        <v>141016.21249737684</v>
      </c>
      <c r="H6" s="14" t="s">
        <v>3</v>
      </c>
      <c r="I6" s="1"/>
    </row>
    <row r="7" spans="1:9" x14ac:dyDescent="0.25">
      <c r="A7" s="1"/>
      <c r="B7" s="51"/>
      <c r="C7" s="52"/>
      <c r="D7" s="52"/>
      <c r="E7" s="52"/>
      <c r="F7" s="52"/>
      <c r="G7" s="52"/>
      <c r="H7" s="19"/>
      <c r="I7" s="1"/>
    </row>
    <row r="8" spans="1:9" x14ac:dyDescent="0.25">
      <c r="A8" s="1"/>
      <c r="B8" s="1"/>
      <c r="C8" s="1"/>
      <c r="D8" s="1"/>
      <c r="E8" s="1"/>
      <c r="F8" s="1"/>
      <c r="G8" s="1"/>
      <c r="H8" s="1"/>
      <c r="I8" s="1"/>
    </row>
    <row r="9" spans="1:9" x14ac:dyDescent="0.25">
      <c r="A9" s="1"/>
      <c r="B9" s="101" t="s">
        <v>52</v>
      </c>
      <c r="C9" s="102"/>
      <c r="D9" s="102"/>
      <c r="E9" s="102"/>
      <c r="F9" s="102"/>
      <c r="G9" s="102"/>
      <c r="H9" s="103"/>
      <c r="I9" s="1"/>
    </row>
    <row r="10" spans="1:9" x14ac:dyDescent="0.25">
      <c r="A10" s="1"/>
      <c r="B10" s="104" t="s">
        <v>53</v>
      </c>
      <c r="C10" s="105"/>
      <c r="D10" s="105"/>
      <c r="E10" s="105"/>
      <c r="F10" s="106"/>
      <c r="G10" s="22">
        <f>(G5-G6)*(1+'Fane 13. Nøgletal'!C9)</f>
        <v>15550282.815240556</v>
      </c>
      <c r="H10" s="14" t="s">
        <v>3</v>
      </c>
      <c r="I10" s="1"/>
    </row>
    <row r="11" spans="1:9" x14ac:dyDescent="0.25">
      <c r="A11" s="1"/>
      <c r="B11" s="107" t="s">
        <v>54</v>
      </c>
      <c r="C11" s="108"/>
      <c r="D11" s="108"/>
      <c r="E11" s="108"/>
      <c r="F11" s="109"/>
      <c r="G11" s="48">
        <v>0</v>
      </c>
      <c r="H11" s="14" t="s">
        <v>3</v>
      </c>
      <c r="I11" s="1"/>
    </row>
    <row r="12" spans="1:9" x14ac:dyDescent="0.25">
      <c r="A12" s="1"/>
      <c r="B12" s="104" t="s">
        <v>55</v>
      </c>
      <c r="C12" s="105"/>
      <c r="D12" s="105"/>
      <c r="E12" s="105"/>
      <c r="F12" s="106"/>
      <c r="G12" s="22">
        <f>G10*'Fane 13. Nøgletal'!C21+G11*'Fane 13. Nøgletal'!C22</f>
        <v>141507.57361868906</v>
      </c>
      <c r="H12" s="14" t="s">
        <v>3</v>
      </c>
      <c r="I12" s="1"/>
    </row>
    <row r="13" spans="1:9" x14ac:dyDescent="0.25">
      <c r="A13" s="1"/>
      <c r="B13" s="51"/>
      <c r="C13" s="52"/>
      <c r="D13" s="52"/>
      <c r="E13" s="52"/>
      <c r="F13" s="52"/>
      <c r="G13" s="52"/>
      <c r="H13" s="19"/>
      <c r="I13" s="1"/>
    </row>
    <row r="14" spans="1:9" x14ac:dyDescent="0.25">
      <c r="A14" s="1"/>
      <c r="B14" s="1"/>
      <c r="C14" s="1"/>
      <c r="D14" s="1"/>
      <c r="E14" s="1"/>
      <c r="F14" s="1"/>
      <c r="G14" s="1"/>
      <c r="H14" s="1"/>
      <c r="I14" s="1"/>
    </row>
    <row r="15" spans="1:9" x14ac:dyDescent="0.25">
      <c r="A15" s="1"/>
      <c r="B15" s="101" t="s">
        <v>56</v>
      </c>
      <c r="C15" s="102"/>
      <c r="D15" s="102"/>
      <c r="E15" s="102"/>
      <c r="F15" s="102"/>
      <c r="G15" s="102"/>
      <c r="H15" s="103"/>
      <c r="I15" s="1"/>
    </row>
    <row r="16" spans="1:9" x14ac:dyDescent="0.25">
      <c r="A16" s="1"/>
      <c r="B16" s="104" t="s">
        <v>57</v>
      </c>
      <c r="C16" s="105"/>
      <c r="D16" s="105"/>
      <c r="E16" s="105"/>
      <c r="F16" s="106"/>
      <c r="G16" s="22">
        <f>(G10+G11-G12)*(1+'Fane 13. Nøgletal'!C11)</f>
        <v>15669183.543205274</v>
      </c>
      <c r="H16" s="14" t="s">
        <v>3</v>
      </c>
      <c r="I16" s="1"/>
    </row>
    <row r="17" spans="1:9" x14ac:dyDescent="0.25">
      <c r="A17" s="1"/>
      <c r="B17" s="104" t="s">
        <v>101</v>
      </c>
      <c r="C17" s="105"/>
      <c r="D17" s="105"/>
      <c r="E17" s="105"/>
      <c r="F17" s="106"/>
      <c r="G17" s="47">
        <v>-309900.20554507722</v>
      </c>
      <c r="H17" s="14" t="s">
        <v>3</v>
      </c>
      <c r="I17" s="1"/>
    </row>
    <row r="18" spans="1:9" x14ac:dyDescent="0.25">
      <c r="A18" s="1"/>
      <c r="B18" s="107" t="s">
        <v>58</v>
      </c>
      <c r="C18" s="108"/>
      <c r="D18" s="108"/>
      <c r="E18" s="108"/>
      <c r="F18" s="109"/>
      <c r="G18" s="47">
        <v>71620.245411890923</v>
      </c>
      <c r="H18" s="14" t="s">
        <v>3</v>
      </c>
      <c r="I18" s="1"/>
    </row>
    <row r="19" spans="1:9" x14ac:dyDescent="0.25">
      <c r="A19" s="1"/>
      <c r="B19" s="104" t="s">
        <v>59</v>
      </c>
      <c r="C19" s="105"/>
      <c r="D19" s="105"/>
      <c r="E19" s="105"/>
      <c r="F19" s="106"/>
      <c r="G19" s="22">
        <f>(G16+G17+G18)*'Fane 13. Nøgletal'!C23</f>
        <v>134248.86117272716</v>
      </c>
      <c r="H19" s="14" t="s">
        <v>3</v>
      </c>
      <c r="I19" s="1"/>
    </row>
    <row r="20" spans="1:9" x14ac:dyDescent="0.25">
      <c r="A20" s="1"/>
      <c r="B20" s="51"/>
      <c r="C20" s="52"/>
      <c r="D20" s="52"/>
      <c r="E20" s="52"/>
      <c r="F20" s="52"/>
      <c r="G20" s="52"/>
      <c r="H20" s="19"/>
      <c r="I20" s="1"/>
    </row>
    <row r="21" spans="1:9" x14ac:dyDescent="0.25">
      <c r="A21" s="1"/>
      <c r="B21" s="1"/>
      <c r="C21" s="1"/>
      <c r="D21" s="1"/>
      <c r="E21" s="1"/>
      <c r="F21" s="1"/>
      <c r="G21" s="1"/>
      <c r="H21" s="1"/>
      <c r="I21" s="1"/>
    </row>
    <row r="22" spans="1:9" x14ac:dyDescent="0.25">
      <c r="A22" s="1"/>
      <c r="B22" s="101" t="s">
        <v>60</v>
      </c>
      <c r="C22" s="102"/>
      <c r="D22" s="102"/>
      <c r="E22" s="102"/>
      <c r="F22" s="102"/>
      <c r="G22" s="102"/>
      <c r="H22" s="103"/>
      <c r="I22" s="1"/>
    </row>
    <row r="23" spans="1:9" x14ac:dyDescent="0.25">
      <c r="A23" s="1"/>
      <c r="B23" s="104" t="s">
        <v>61</v>
      </c>
      <c r="C23" s="105"/>
      <c r="D23" s="105"/>
      <c r="E23" s="105"/>
      <c r="F23" s="106"/>
      <c r="G23" s="22">
        <f>(SUM(G16:G18)-G19)*(1+'Fane 13. Nøgletal'!C11)</f>
        <v>15555168.186699459</v>
      </c>
      <c r="H23" s="14" t="s">
        <v>3</v>
      </c>
      <c r="I23" s="1"/>
    </row>
    <row r="24" spans="1:9" x14ac:dyDescent="0.25">
      <c r="A24" s="1"/>
      <c r="B24" s="107" t="s">
        <v>62</v>
      </c>
      <c r="C24" s="108"/>
      <c r="D24" s="108"/>
      <c r="E24" s="108"/>
      <c r="F24" s="109"/>
      <c r="G24" s="47">
        <v>4222.5794334900002</v>
      </c>
      <c r="H24" s="14" t="s">
        <v>3</v>
      </c>
      <c r="I24" s="1"/>
    </row>
    <row r="25" spans="1:9" x14ac:dyDescent="0.25">
      <c r="A25" s="1"/>
      <c r="B25" s="104" t="s">
        <v>63</v>
      </c>
      <c r="C25" s="105"/>
      <c r="D25" s="105"/>
      <c r="E25" s="105"/>
      <c r="F25" s="106"/>
      <c r="G25" s="22">
        <f>G23*'Fane 13. Nøgletal'!C23+G24*'Fane 13. Nøgletal'!C24</f>
        <v>135449.8844801964</v>
      </c>
      <c r="H25" s="14" t="s">
        <v>3</v>
      </c>
      <c r="I25" s="1"/>
    </row>
    <row r="26" spans="1:9" x14ac:dyDescent="0.25">
      <c r="A26" s="1"/>
      <c r="B26" s="51"/>
      <c r="C26" s="52"/>
      <c r="D26" s="52"/>
      <c r="E26" s="52"/>
      <c r="F26" s="52"/>
      <c r="G26" s="52"/>
      <c r="H26" s="19"/>
      <c r="I26" s="1"/>
    </row>
    <row r="27" spans="1:9" x14ac:dyDescent="0.25">
      <c r="A27" s="1"/>
      <c r="B27" s="1"/>
      <c r="C27" s="1"/>
      <c r="D27" s="1"/>
      <c r="E27" s="1"/>
      <c r="F27" s="1"/>
      <c r="G27" s="1"/>
      <c r="H27" s="1"/>
      <c r="I27" s="1"/>
    </row>
    <row r="28" spans="1:9" x14ac:dyDescent="0.25">
      <c r="A28" s="1"/>
      <c r="B28" s="101" t="s">
        <v>119</v>
      </c>
      <c r="C28" s="102"/>
      <c r="D28" s="102"/>
      <c r="E28" s="102"/>
      <c r="F28" s="102"/>
      <c r="G28" s="102"/>
      <c r="H28" s="103"/>
      <c r="I28" s="1"/>
    </row>
    <row r="29" spans="1:9" x14ac:dyDescent="0.25">
      <c r="A29" s="1"/>
      <c r="B29" s="104" t="s">
        <v>64</v>
      </c>
      <c r="C29" s="105"/>
      <c r="D29" s="105"/>
      <c r="E29" s="105"/>
      <c r="F29" s="106"/>
      <c r="G29" s="22">
        <f>(G23+G24-G25)*(1+'Fane 13. Nøgletal'!C13)</f>
        <v>15612112.960408915</v>
      </c>
      <c r="H29" s="14" t="s">
        <v>3</v>
      </c>
      <c r="I29" s="1"/>
    </row>
    <row r="30" spans="1:9" x14ac:dyDescent="0.25">
      <c r="A30" s="1"/>
      <c r="B30" s="104" t="s">
        <v>113</v>
      </c>
      <c r="C30" s="105"/>
      <c r="D30" s="105"/>
      <c r="E30" s="105"/>
      <c r="F30" s="106"/>
      <c r="G30" s="47">
        <v>280262.26153547998</v>
      </c>
      <c r="H30" s="14" t="s">
        <v>3</v>
      </c>
      <c r="I30" s="1"/>
    </row>
    <row r="31" spans="1:9" x14ac:dyDescent="0.25">
      <c r="A31" s="1"/>
      <c r="B31" s="104" t="s">
        <v>120</v>
      </c>
      <c r="C31" s="105"/>
      <c r="D31" s="105"/>
      <c r="E31" s="105"/>
      <c r="F31" s="106"/>
      <c r="G31" s="22">
        <f>(G29+G30)*'Fane 13. Nøgletal'!C25</f>
        <v>437040.31860347086</v>
      </c>
      <c r="H31" s="14" t="s">
        <v>3</v>
      </c>
      <c r="I31" s="1"/>
    </row>
    <row r="32" spans="1:9" x14ac:dyDescent="0.25">
      <c r="A32" s="1"/>
      <c r="B32" s="51"/>
      <c r="C32" s="52"/>
      <c r="D32" s="52"/>
      <c r="E32" s="52"/>
      <c r="F32" s="52"/>
      <c r="G32" s="52"/>
      <c r="H32" s="19"/>
      <c r="I32" s="1"/>
    </row>
    <row r="33" spans="1:9" x14ac:dyDescent="0.25">
      <c r="A33" s="1"/>
      <c r="B33" s="1"/>
      <c r="C33" s="1"/>
      <c r="D33" s="1"/>
      <c r="E33" s="1"/>
      <c r="F33" s="1"/>
      <c r="G33" s="1"/>
      <c r="H33" s="1"/>
      <c r="I33" s="1"/>
    </row>
    <row r="34" spans="1:9" x14ac:dyDescent="0.25">
      <c r="A34" s="1"/>
      <c r="B34" s="101" t="s">
        <v>124</v>
      </c>
      <c r="C34" s="102"/>
      <c r="D34" s="102"/>
      <c r="E34" s="102"/>
      <c r="F34" s="102"/>
      <c r="G34" s="102"/>
      <c r="H34" s="103"/>
      <c r="I34" s="1"/>
    </row>
    <row r="35" spans="1:9" x14ac:dyDescent="0.25">
      <c r="A35" s="1"/>
      <c r="B35" s="104" t="s">
        <v>67</v>
      </c>
      <c r="C35" s="105"/>
      <c r="D35" s="105"/>
      <c r="E35" s="105"/>
      <c r="F35" s="106"/>
      <c r="G35" s="22">
        <f>(G29+G30-G31)*(1+'Fane 13. Nøgletal'!C13)</f>
        <v>15643889.989161683</v>
      </c>
      <c r="H35" s="14" t="s">
        <v>3</v>
      </c>
      <c r="I35" s="1"/>
    </row>
    <row r="36" spans="1:9" x14ac:dyDescent="0.25">
      <c r="A36" s="1"/>
      <c r="B36" s="104" t="s">
        <v>129</v>
      </c>
      <c r="C36" s="105"/>
      <c r="D36" s="105"/>
      <c r="E36" s="105"/>
      <c r="F36" s="106"/>
      <c r="G36" s="22">
        <v>230628.64745146004</v>
      </c>
      <c r="H36" s="14" t="s">
        <v>3</v>
      </c>
      <c r="I36" s="1"/>
    </row>
    <row r="37" spans="1:9" x14ac:dyDescent="0.25">
      <c r="A37" s="1"/>
      <c r="B37" s="104" t="s">
        <v>125</v>
      </c>
      <c r="C37" s="105"/>
      <c r="D37" s="105"/>
      <c r="E37" s="105"/>
      <c r="F37" s="106"/>
      <c r="G37" s="22">
        <f>G35*'Fane 13. Nøgletal'!C25+G36*'Fane 13. Nøgletal'!C26</f>
        <v>433620.2786842279</v>
      </c>
      <c r="H37" s="14" t="s">
        <v>3</v>
      </c>
      <c r="I37" s="1"/>
    </row>
    <row r="38" spans="1:9" x14ac:dyDescent="0.25">
      <c r="A38" s="1"/>
      <c r="B38" s="51"/>
      <c r="C38" s="52"/>
      <c r="D38" s="52"/>
      <c r="E38" s="52"/>
      <c r="F38" s="52"/>
      <c r="G38" s="52"/>
      <c r="H38" s="19"/>
      <c r="I38" s="1"/>
    </row>
    <row r="39" spans="1:9" x14ac:dyDescent="0.25">
      <c r="A39" s="1"/>
      <c r="B39" s="1"/>
      <c r="C39" s="1"/>
      <c r="D39" s="1"/>
      <c r="E39" s="1"/>
      <c r="F39" s="1"/>
      <c r="G39" s="1"/>
      <c r="H39" s="1"/>
      <c r="I39" s="1"/>
    </row>
    <row r="40" spans="1:9" x14ac:dyDescent="0.25">
      <c r="A40" s="1"/>
      <c r="B40" s="101" t="s">
        <v>159</v>
      </c>
      <c r="C40" s="102"/>
      <c r="D40" s="102"/>
      <c r="E40" s="102"/>
      <c r="F40" s="102"/>
      <c r="G40" s="102"/>
      <c r="H40" s="103"/>
      <c r="I40" s="1"/>
    </row>
    <row r="41" spans="1:9" x14ac:dyDescent="0.25">
      <c r="A41" s="1"/>
      <c r="B41" s="104" t="s">
        <v>66</v>
      </c>
      <c r="C41" s="105"/>
      <c r="D41" s="105"/>
      <c r="E41" s="105"/>
      <c r="F41" s="106"/>
      <c r="G41" s="22">
        <f>(G35+G36-G37)*(1+'Fane 13. Nøgletal'!C15)</f>
        <v>15990594.339471186</v>
      </c>
      <c r="H41" s="14" t="s">
        <v>3</v>
      </c>
      <c r="I41" s="1"/>
    </row>
    <row r="42" spans="1:9" x14ac:dyDescent="0.25">
      <c r="A42" s="1"/>
      <c r="B42" s="104" t="s">
        <v>169</v>
      </c>
      <c r="C42" s="105"/>
      <c r="D42" s="105"/>
      <c r="E42" s="105"/>
      <c r="F42" s="106"/>
      <c r="G42" s="9">
        <v>844772.8872657601</v>
      </c>
      <c r="H42" s="14" t="s">
        <v>3</v>
      </c>
      <c r="I42" s="1"/>
    </row>
    <row r="43" spans="1:9" x14ac:dyDescent="0.25">
      <c r="A43" s="1"/>
      <c r="B43" s="104" t="s">
        <v>65</v>
      </c>
      <c r="C43" s="105"/>
      <c r="D43" s="105"/>
      <c r="E43" s="105"/>
      <c r="F43" s="106"/>
      <c r="G43" s="55">
        <f>(G41+G42)*'Fane 13. Nøgletal'!C27</f>
        <v>0</v>
      </c>
      <c r="H43" s="14" t="s">
        <v>3</v>
      </c>
      <c r="I43" s="1"/>
    </row>
    <row r="44" spans="1:9" x14ac:dyDescent="0.25">
      <c r="A44" s="1"/>
      <c r="B44" s="51"/>
      <c r="C44" s="52"/>
      <c r="D44" s="52"/>
      <c r="E44" s="52"/>
      <c r="F44" s="52"/>
      <c r="G44" s="52"/>
      <c r="H44" s="19"/>
      <c r="I44" s="1"/>
    </row>
    <row r="45" spans="1:9" ht="12" customHeight="1" x14ac:dyDescent="0.25">
      <c r="A45" s="1"/>
      <c r="B45" s="1"/>
      <c r="C45" s="1"/>
      <c r="D45" s="1"/>
      <c r="E45" s="1"/>
      <c r="F45" s="1"/>
      <c r="G45" s="1"/>
      <c r="H45" s="1"/>
      <c r="I45" s="1"/>
    </row>
    <row r="46" spans="1:9" x14ac:dyDescent="0.25">
      <c r="A46" s="1"/>
      <c r="B46" s="101" t="s">
        <v>160</v>
      </c>
      <c r="C46" s="102"/>
      <c r="D46" s="102"/>
      <c r="E46" s="102"/>
      <c r="F46" s="102"/>
      <c r="G46" s="102"/>
      <c r="H46" s="103"/>
      <c r="I46" s="1"/>
    </row>
    <row r="47" spans="1:9" x14ac:dyDescent="0.25">
      <c r="A47" s="1"/>
      <c r="B47" s="104" t="s">
        <v>114</v>
      </c>
      <c r="C47" s="105"/>
      <c r="D47" s="105"/>
      <c r="E47" s="105"/>
      <c r="F47" s="106"/>
      <c r="G47" s="22">
        <f>(G41+G42-G43)*(1+'Fane 13. Nøgletal'!C15)</f>
        <v>17434706.300008781</v>
      </c>
      <c r="H47" s="14" t="s">
        <v>3</v>
      </c>
      <c r="I47" s="1"/>
    </row>
    <row r="48" spans="1:9" x14ac:dyDescent="0.25">
      <c r="A48" s="1"/>
      <c r="B48" s="104" t="s">
        <v>210</v>
      </c>
      <c r="C48" s="105"/>
      <c r="D48" s="105"/>
      <c r="E48" s="105"/>
      <c r="F48" s="106"/>
      <c r="G48" s="22">
        <f>('Fane 2.1. Økonomisk ramme 2024'!C10+'Fane 2.1. Økonomisk ramme 2024'!C12+'Fane 2.1. Økonomisk ramme 2024'!C14)*(1+'Fane 13. Nøgletal'!C16)</f>
        <v>1072940.1733836799</v>
      </c>
      <c r="H48" s="14" t="s">
        <v>3</v>
      </c>
      <c r="I48" s="1"/>
    </row>
    <row r="49" spans="1:9" x14ac:dyDescent="0.25">
      <c r="A49" s="1"/>
      <c r="B49" s="104" t="s">
        <v>211</v>
      </c>
      <c r="C49" s="105"/>
      <c r="D49" s="105"/>
      <c r="E49" s="105"/>
      <c r="F49" s="106"/>
      <c r="G49" s="55">
        <f>(G47)*'Fane 13. Nøgletal'!C27+G48*'Fane 13. Nøgletal'!C28</f>
        <v>0</v>
      </c>
      <c r="H49" s="14" t="s">
        <v>3</v>
      </c>
      <c r="I49" s="1"/>
    </row>
    <row r="50" spans="1:9" x14ac:dyDescent="0.25">
      <c r="A50" s="1"/>
      <c r="B50" s="51"/>
      <c r="C50" s="52"/>
      <c r="D50" s="52"/>
      <c r="E50" s="52"/>
      <c r="F50" s="52"/>
      <c r="G50" s="52"/>
      <c r="H50" s="19"/>
      <c r="I50" s="1"/>
    </row>
    <row r="51" spans="1:9" x14ac:dyDescent="0.25">
      <c r="A51" s="1"/>
      <c r="B51" s="1"/>
      <c r="C51" s="1"/>
      <c r="D51" s="1"/>
      <c r="E51" s="1"/>
      <c r="F51" s="1"/>
      <c r="G51" s="1"/>
      <c r="H51" s="1"/>
      <c r="I51" s="1"/>
    </row>
    <row r="52" spans="1:9" x14ac:dyDescent="0.25">
      <c r="A52" s="1"/>
      <c r="B52" s="101" t="s">
        <v>130</v>
      </c>
      <c r="C52" s="102"/>
      <c r="D52" s="102"/>
      <c r="E52" s="102"/>
      <c r="F52" s="102"/>
      <c r="G52" s="102"/>
      <c r="H52" s="103"/>
      <c r="I52" s="1"/>
    </row>
    <row r="53" spans="1:9" x14ac:dyDescent="0.25">
      <c r="A53" s="1"/>
      <c r="B53" s="104" t="s">
        <v>131</v>
      </c>
      <c r="C53" s="105"/>
      <c r="D53" s="105"/>
      <c r="E53" s="105"/>
      <c r="F53" s="106"/>
      <c r="G53" s="22">
        <f>(G47+G48-G49)*(1+'Fane 13. Nøgletal'!C16)</f>
        <v>20003064.30844257</v>
      </c>
      <c r="H53" s="14" t="s">
        <v>3</v>
      </c>
      <c r="I53" s="1"/>
    </row>
    <row r="54" spans="1:9" x14ac:dyDescent="0.25">
      <c r="A54" s="1"/>
      <c r="B54" s="104" t="s">
        <v>132</v>
      </c>
      <c r="C54" s="105"/>
      <c r="D54" s="105"/>
      <c r="E54" s="105"/>
      <c r="F54" s="106"/>
      <c r="G54" s="55">
        <f>(G53)*'Fane 13. Nøgletal'!C28</f>
        <v>0</v>
      </c>
      <c r="H54" s="14" t="s">
        <v>3</v>
      </c>
      <c r="I54" s="1"/>
    </row>
    <row r="55" spans="1:9" x14ac:dyDescent="0.25">
      <c r="A55" s="1"/>
      <c r="B55" s="51"/>
      <c r="C55" s="52"/>
      <c r="D55" s="52"/>
      <c r="E55" s="52"/>
      <c r="F55" s="52"/>
      <c r="G55" s="52"/>
      <c r="H55" s="19"/>
      <c r="I55" s="1"/>
    </row>
    <row r="56" spans="1:9" x14ac:dyDescent="0.25">
      <c r="A56" s="1"/>
      <c r="B56" s="1"/>
      <c r="C56" s="1"/>
      <c r="D56" s="1"/>
      <c r="E56" s="1"/>
      <c r="F56" s="1"/>
      <c r="G56" s="1"/>
      <c r="H56" s="1"/>
      <c r="I56" s="1"/>
    </row>
    <row r="57" spans="1:9" x14ac:dyDescent="0.25">
      <c r="A57" s="1"/>
      <c r="B57" s="101" t="s">
        <v>147</v>
      </c>
      <c r="C57" s="102"/>
      <c r="D57" s="102"/>
      <c r="E57" s="102"/>
      <c r="F57" s="102"/>
      <c r="G57" s="102"/>
      <c r="H57" s="103"/>
      <c r="I57" s="1"/>
    </row>
    <row r="58" spans="1:9" x14ac:dyDescent="0.25">
      <c r="A58" s="1"/>
      <c r="B58" s="104" t="s">
        <v>148</v>
      </c>
      <c r="C58" s="105"/>
      <c r="D58" s="105"/>
      <c r="E58" s="105"/>
      <c r="F58" s="106"/>
      <c r="G58" s="22">
        <f>(G53-G54)*(1+'Fane 13. Nøgletal'!C16)</f>
        <v>21619311.904564731</v>
      </c>
      <c r="H58" s="14" t="s">
        <v>3</v>
      </c>
      <c r="I58" s="1"/>
    </row>
    <row r="59" spans="1:9" x14ac:dyDescent="0.25">
      <c r="A59" s="1"/>
      <c r="B59" s="104" t="s">
        <v>149</v>
      </c>
      <c r="C59" s="105"/>
      <c r="D59" s="105"/>
      <c r="E59" s="105"/>
      <c r="F59" s="106"/>
      <c r="G59" s="55">
        <f>(G58)*'Fane 13. Nøgletal'!C28</f>
        <v>0</v>
      </c>
      <c r="H59" s="14" t="s">
        <v>3</v>
      </c>
      <c r="I59" s="1"/>
    </row>
    <row r="60" spans="1:9" x14ac:dyDescent="0.25">
      <c r="A60" s="1"/>
      <c r="B60" s="51"/>
      <c r="C60" s="52"/>
      <c r="D60" s="52"/>
      <c r="E60" s="52"/>
      <c r="F60" s="52"/>
      <c r="G60" s="52"/>
      <c r="H60" s="19"/>
      <c r="I60" s="1"/>
    </row>
    <row r="61" spans="1:9" x14ac:dyDescent="0.25">
      <c r="A61" s="1"/>
      <c r="B61" s="1"/>
      <c r="C61" s="1"/>
      <c r="D61" s="1"/>
      <c r="E61" s="1"/>
      <c r="F61" s="1"/>
      <c r="G61" s="1"/>
      <c r="H61" s="1"/>
      <c r="I61" s="1"/>
    </row>
    <row r="62" spans="1:9" x14ac:dyDescent="0.25">
      <c r="A62" s="1"/>
      <c r="B62" s="101" t="s">
        <v>223</v>
      </c>
      <c r="C62" s="102"/>
      <c r="D62" s="102"/>
      <c r="E62" s="102"/>
      <c r="F62" s="102"/>
      <c r="G62" s="102"/>
      <c r="H62" s="103"/>
      <c r="I62" s="1"/>
    </row>
    <row r="63" spans="1:9" x14ac:dyDescent="0.25">
      <c r="A63" s="1"/>
      <c r="B63" s="104" t="s">
        <v>224</v>
      </c>
      <c r="C63" s="105"/>
      <c r="D63" s="105"/>
      <c r="E63" s="105"/>
      <c r="F63" s="106"/>
      <c r="G63" s="22">
        <f>(G58-G59)*(1+'Fane 13. Nøgletal'!C16)</f>
        <v>23366152.30645356</v>
      </c>
      <c r="H63" s="14" t="s">
        <v>3</v>
      </c>
      <c r="I63" s="1"/>
    </row>
    <row r="64" spans="1:9" x14ac:dyDescent="0.25">
      <c r="A64" s="1"/>
      <c r="B64" s="104" t="s">
        <v>225</v>
      </c>
      <c r="C64" s="105"/>
      <c r="D64" s="105"/>
      <c r="E64" s="105"/>
      <c r="F64" s="106"/>
      <c r="G64" s="55">
        <f>(G63)*'Fane 13. Nøgletal'!C28</f>
        <v>0</v>
      </c>
      <c r="H64" s="14" t="s">
        <v>3</v>
      </c>
      <c r="I64" s="1"/>
    </row>
    <row r="65" spans="1:9" x14ac:dyDescent="0.25">
      <c r="A65" s="1"/>
      <c r="B65" s="51"/>
      <c r="C65" s="52"/>
      <c r="D65" s="52"/>
      <c r="E65" s="52"/>
      <c r="F65" s="52"/>
      <c r="G65" s="52"/>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51Ah14PzHLaY9CChDSdCtjlfeNB1cI+Snr2M0lOksPGaukJkgoEWH3RSvpsnSBLR05ZrtYHVpRq8Z5J7h9KZtA==" saltValue="0cJNLBWKJ+Fm6SJ3thjz4g==" spinCount="100000" sheet="1" objects="1" scenarios="1"/>
  <mergeCells count="42">
    <mergeCell ref="B47:F47"/>
    <mergeCell ref="B49:F49"/>
    <mergeCell ref="B36:F36"/>
    <mergeCell ref="B42:F42"/>
    <mergeCell ref="B41:F41"/>
    <mergeCell ref="B40:H40"/>
    <mergeCell ref="B37:F37"/>
    <mergeCell ref="B46:H46"/>
    <mergeCell ref="B48:F48"/>
    <mergeCell ref="B34:H34"/>
    <mergeCell ref="B12:F12"/>
    <mergeCell ref="B15:H15"/>
    <mergeCell ref="B16:F16"/>
    <mergeCell ref="B18:F18"/>
    <mergeCell ref="B30:F30"/>
    <mergeCell ref="B17:F17"/>
    <mergeCell ref="B22:H22"/>
    <mergeCell ref="B23:F23"/>
    <mergeCell ref="B24:F24"/>
    <mergeCell ref="B25:F25"/>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62:H62"/>
    <mergeCell ref="B63:F63"/>
    <mergeCell ref="B64:F64"/>
    <mergeCell ref="B57:H57"/>
    <mergeCell ref="B58:F58"/>
    <mergeCell ref="B59:F59"/>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7" t="s">
        <v>77</v>
      </c>
      <c r="C3" s="97"/>
      <c r="D3" s="97"/>
      <c r="E3" s="97"/>
      <c r="F3" s="97"/>
      <c r="G3" s="97"/>
      <c r="H3" s="1"/>
    </row>
    <row r="4" spans="1:8" ht="15" customHeight="1" x14ac:dyDescent="0.25">
      <c r="A4" s="1"/>
      <c r="B4" s="97"/>
      <c r="C4" s="97"/>
      <c r="D4" s="97"/>
      <c r="E4" s="97"/>
      <c r="F4" s="97"/>
      <c r="G4" s="9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1" t="s">
        <v>9</v>
      </c>
      <c r="C8" s="102"/>
      <c r="D8" s="102"/>
      <c r="E8" s="102"/>
      <c r="F8" s="102"/>
      <c r="G8" s="103"/>
      <c r="H8" s="1"/>
    </row>
    <row r="9" spans="1:8" x14ac:dyDescent="0.25">
      <c r="A9" s="1"/>
      <c r="B9" s="65" t="s">
        <v>150</v>
      </c>
      <c r="C9" s="66"/>
      <c r="D9" s="66"/>
      <c r="E9" s="66"/>
      <c r="F9" s="67"/>
      <c r="G9" s="63">
        <v>1.7810280612607591E-2</v>
      </c>
      <c r="H9" s="1"/>
    </row>
    <row r="10" spans="1:8" x14ac:dyDescent="0.25">
      <c r="A10" s="1"/>
      <c r="B10" s="51"/>
      <c r="C10" s="52"/>
      <c r="D10" s="52"/>
      <c r="E10" s="52"/>
      <c r="F10" s="52"/>
      <c r="G10" s="19"/>
      <c r="H10" s="1"/>
    </row>
    <row r="11" spans="1:8" ht="15" customHeight="1" x14ac:dyDescent="0.25">
      <c r="A11" s="1"/>
      <c r="B11" s="113" t="s">
        <v>236</v>
      </c>
      <c r="C11" s="114"/>
      <c r="D11" s="114"/>
      <c r="E11" s="114"/>
      <c r="F11" s="114"/>
      <c r="G11" s="115"/>
      <c r="H11" s="1"/>
    </row>
    <row r="12" spans="1:8" ht="13.5" customHeight="1" x14ac:dyDescent="0.25">
      <c r="A12" s="1"/>
      <c r="B12" s="116"/>
      <c r="C12" s="117"/>
      <c r="D12" s="117"/>
      <c r="E12" s="117"/>
      <c r="F12" s="117"/>
      <c r="G12" s="118"/>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UpxVTr46wM0XZ+vMuA2gI0mHjSS8reE7TITLwd7hh7JKJfznwfpCaPe80QGkvVLm4a81qje/Py6Ty60VJvMiPw==" saltValue="cjudqKtbDLpzPN9JjpCm2A==" spinCount="100000" sheet="1" objects="1" scenarios="1"/>
  <mergeCells count="3">
    <mergeCell ref="B3:G4"/>
    <mergeCell ref="B8:G8"/>
    <mergeCell ref="B11:G12"/>
  </mergeCells>
  <conditionalFormatting sqref="G9">
    <cfRule type="containsBlanks" dxfId="0" priority="1">
      <formula>LEN(TRIM(G9))=0</formula>
    </cfRule>
  </conditionalFormatting>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7" t="s">
        <v>92</v>
      </c>
      <c r="C3" s="97"/>
      <c r="D3" s="97"/>
      <c r="E3" s="1"/>
      <c r="F3" s="1"/>
    </row>
    <row r="4" spans="1:6" ht="15" customHeight="1" x14ac:dyDescent="0.25">
      <c r="A4" s="1"/>
      <c r="B4" s="97"/>
      <c r="C4" s="97"/>
      <c r="D4" s="9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1" t="s">
        <v>226</v>
      </c>
      <c r="C8" s="102"/>
      <c r="D8" s="103"/>
      <c r="E8" s="1"/>
      <c r="F8" s="1"/>
    </row>
    <row r="9" spans="1:6" ht="15" customHeight="1" x14ac:dyDescent="0.25">
      <c r="A9" s="1"/>
      <c r="B9" s="32" t="s">
        <v>28</v>
      </c>
      <c r="C9" s="11" t="s">
        <v>212</v>
      </c>
      <c r="D9" s="11"/>
      <c r="E9" s="1"/>
      <c r="F9" s="1"/>
    </row>
    <row r="10" spans="1:6" ht="15" customHeight="1" x14ac:dyDescent="0.25">
      <c r="A10" s="1"/>
      <c r="B10" s="68" t="s">
        <v>243</v>
      </c>
      <c r="C10" s="9">
        <v>22997759</v>
      </c>
      <c r="D10" s="14" t="s">
        <v>3</v>
      </c>
      <c r="E10" s="1"/>
      <c r="F10" s="1"/>
    </row>
    <row r="11" spans="1:6" x14ac:dyDescent="0.25">
      <c r="A11" s="1"/>
      <c r="B11" s="68" t="s">
        <v>244</v>
      </c>
      <c r="C11" s="9">
        <v>141393</v>
      </c>
      <c r="D11" s="14" t="s">
        <v>3</v>
      </c>
      <c r="E11" s="1"/>
      <c r="F11" s="1"/>
    </row>
    <row r="12" spans="1:6" ht="26.25" x14ac:dyDescent="0.25">
      <c r="A12" s="1"/>
      <c r="B12" s="54" t="s">
        <v>245</v>
      </c>
      <c r="C12" s="9">
        <v>8117082</v>
      </c>
      <c r="D12" s="14" t="s">
        <v>3</v>
      </c>
      <c r="E12" s="1"/>
      <c r="F12" s="1"/>
    </row>
    <row r="13" spans="1:6" x14ac:dyDescent="0.25">
      <c r="A13" s="1"/>
      <c r="B13" s="68" t="s">
        <v>246</v>
      </c>
      <c r="C13" s="9">
        <v>171035</v>
      </c>
      <c r="D13" s="14" t="s">
        <v>3</v>
      </c>
      <c r="E13" s="1"/>
      <c r="F13" s="1"/>
    </row>
    <row r="14" spans="1:6" x14ac:dyDescent="0.25">
      <c r="A14" s="1"/>
      <c r="B14" s="68" t="s">
        <v>247</v>
      </c>
      <c r="C14" s="9">
        <v>366410</v>
      </c>
      <c r="D14" s="14" t="s">
        <v>3</v>
      </c>
      <c r="E14" s="1"/>
      <c r="F14" s="1"/>
    </row>
    <row r="15" spans="1:6" x14ac:dyDescent="0.25">
      <c r="A15" s="1"/>
      <c r="B15" s="68"/>
      <c r="C15" s="9"/>
      <c r="D15" s="14" t="s">
        <v>3</v>
      </c>
      <c r="E15" s="1"/>
      <c r="F15" s="1"/>
    </row>
    <row r="16" spans="1:6" x14ac:dyDescent="0.25">
      <c r="A16" s="1"/>
      <c r="B16" s="68"/>
      <c r="C16" s="9"/>
      <c r="D16" s="14" t="s">
        <v>3</v>
      </c>
      <c r="E16" s="1"/>
      <c r="F16" s="1"/>
    </row>
    <row r="17" spans="1:6" x14ac:dyDescent="0.25">
      <c r="A17" s="1"/>
      <c r="B17" s="68"/>
      <c r="C17" s="9"/>
      <c r="D17" s="14" t="s">
        <v>3</v>
      </c>
      <c r="E17" s="1"/>
      <c r="F17" s="1"/>
    </row>
    <row r="18" spans="1:6" x14ac:dyDescent="0.25">
      <c r="A18" s="1"/>
      <c r="B18" s="68"/>
      <c r="C18" s="9"/>
      <c r="D18" s="14" t="s">
        <v>3</v>
      </c>
      <c r="E18" s="1"/>
      <c r="F18" s="1"/>
    </row>
    <row r="19" spans="1:6" x14ac:dyDescent="0.25">
      <c r="A19" s="1"/>
      <c r="B19" s="51" t="s">
        <v>213</v>
      </c>
      <c r="C19" s="12">
        <f>SUM(C10:C18)</f>
        <v>31793679</v>
      </c>
      <c r="D19" s="13" t="s">
        <v>3</v>
      </c>
      <c r="E19" s="1"/>
      <c r="F19" s="1"/>
    </row>
    <row r="20" spans="1:6" x14ac:dyDescent="0.25">
      <c r="A20" s="1"/>
      <c r="B20" s="51" t="s">
        <v>214</v>
      </c>
      <c r="C20" s="12">
        <f>C19*(1+'Fane 13. Nøgletal'!C16)^2</f>
        <v>37139107.01086656</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44"/>
      <c r="B50" s="44"/>
      <c r="C50" s="44"/>
      <c r="D50" s="44"/>
      <c r="E50" s="44"/>
      <c r="F50" s="44"/>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sheetData>
  <sheetProtection algorithmName="SHA-512" hashValue="J/1z0iwnXoGB01swglvToQGQzLBFG4B7DmniINHkRerB78FqPV7qNb3nNjL12jiBMxy+TjUauBsrn7cYt01+jQ==" saltValue="7MfCvWumpM2gnCVGHCJKn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87742-97F7-414B-A915-B97E13B8A098}">
  <dimension ref="A1:G45"/>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00" t="s">
        <v>227</v>
      </c>
      <c r="C3" s="100"/>
      <c r="D3" s="100"/>
      <c r="E3" s="100"/>
      <c r="F3" s="100"/>
      <c r="G3" s="1"/>
    </row>
    <row r="4" spans="1:7" ht="15" customHeight="1" x14ac:dyDescent="0.25">
      <c r="A4" s="1"/>
      <c r="B4" s="100"/>
      <c r="C4" s="100"/>
      <c r="D4" s="100"/>
      <c r="E4" s="100"/>
      <c r="F4" s="100"/>
      <c r="G4" s="1"/>
    </row>
    <row r="5" spans="1:7" ht="15" customHeight="1" x14ac:dyDescent="0.25">
      <c r="A5" s="1"/>
      <c r="B5" s="64"/>
      <c r="C5" s="64"/>
      <c r="D5" s="64"/>
      <c r="E5" s="64"/>
      <c r="F5" s="64"/>
      <c r="G5" s="1"/>
    </row>
    <row r="6" spans="1:7" ht="15" customHeight="1" x14ac:dyDescent="0.25">
      <c r="A6" s="1"/>
      <c r="B6" s="1"/>
      <c r="C6" s="58"/>
      <c r="D6" s="59"/>
      <c r="E6" s="64"/>
      <c r="F6" s="64"/>
      <c r="G6" s="1"/>
    </row>
    <row r="7" spans="1:7" x14ac:dyDescent="0.25">
      <c r="A7" s="1"/>
      <c r="B7" s="1"/>
      <c r="C7" s="1"/>
      <c r="D7" s="1"/>
      <c r="E7" s="60"/>
      <c r="F7" s="1"/>
      <c r="G7" s="1"/>
    </row>
    <row r="8" spans="1:7" x14ac:dyDescent="0.25">
      <c r="A8" s="1"/>
      <c r="B8" s="101" t="s">
        <v>251</v>
      </c>
      <c r="C8" s="102"/>
      <c r="D8" s="102"/>
      <c r="E8" s="102"/>
      <c r="F8" s="103"/>
      <c r="G8" s="1"/>
    </row>
    <row r="9" spans="1:7" x14ac:dyDescent="0.25">
      <c r="A9" s="1"/>
      <c r="B9" s="104" t="s">
        <v>252</v>
      </c>
      <c r="C9" s="105"/>
      <c r="D9" s="106"/>
      <c r="E9" s="28">
        <v>-5797259</v>
      </c>
      <c r="F9" s="14" t="s">
        <v>3</v>
      </c>
      <c r="G9" s="1"/>
    </row>
    <row r="10" spans="1:7" x14ac:dyDescent="0.25">
      <c r="A10" s="1"/>
      <c r="B10" s="51"/>
      <c r="C10" s="52"/>
      <c r="D10" s="52"/>
      <c r="E10" s="52"/>
      <c r="F10" s="19"/>
      <c r="G10" s="1"/>
    </row>
    <row r="11" spans="1:7" ht="53.25" customHeight="1" x14ac:dyDescent="0.25">
      <c r="A11" s="1"/>
      <c r="B11" s="119" t="s">
        <v>253</v>
      </c>
      <c r="C11" s="120"/>
      <c r="D11" s="120"/>
      <c r="E11" s="120"/>
      <c r="F11" s="121"/>
      <c r="G11" s="1"/>
    </row>
    <row r="12" spans="1:7" x14ac:dyDescent="0.25">
      <c r="A12" s="1"/>
      <c r="B12" s="1"/>
      <c r="C12" s="1"/>
      <c r="D12" s="1"/>
      <c r="E12" s="1"/>
      <c r="F12" s="1"/>
      <c r="G12" s="1"/>
    </row>
    <row r="13" spans="1:7" x14ac:dyDescent="0.25">
      <c r="A13" s="1"/>
      <c r="B13" s="101" t="s">
        <v>140</v>
      </c>
      <c r="C13" s="102"/>
      <c r="D13" s="102"/>
      <c r="E13" s="102"/>
      <c r="F13" s="103"/>
      <c r="G13" s="1"/>
    </row>
    <row r="14" spans="1:7" x14ac:dyDescent="0.25">
      <c r="A14" s="1"/>
      <c r="B14" s="104" t="s">
        <v>254</v>
      </c>
      <c r="C14" s="105"/>
      <c r="D14" s="106"/>
      <c r="E14" s="9">
        <v>-6978752</v>
      </c>
      <c r="F14" s="14" t="s">
        <v>3</v>
      </c>
      <c r="G14" s="1"/>
    </row>
    <row r="15" spans="1:7" x14ac:dyDescent="0.25">
      <c r="A15" s="1"/>
      <c r="B15" s="104" t="s">
        <v>255</v>
      </c>
      <c r="C15" s="105"/>
      <c r="D15" s="106"/>
      <c r="E15" s="9">
        <v>-6978752</v>
      </c>
      <c r="F15" s="14" t="s">
        <v>3</v>
      </c>
      <c r="G15" s="1"/>
    </row>
    <row r="16" spans="1:7" x14ac:dyDescent="0.25">
      <c r="A16" s="1"/>
      <c r="B16" s="51"/>
      <c r="C16" s="52"/>
      <c r="D16" s="52"/>
      <c r="E16" s="52"/>
      <c r="F16" s="19"/>
      <c r="G16" s="1"/>
    </row>
    <row r="17" spans="1:7" ht="32.25" customHeight="1" x14ac:dyDescent="0.25">
      <c r="A17" s="1"/>
      <c r="B17" s="119" t="s">
        <v>256</v>
      </c>
      <c r="C17" s="120"/>
      <c r="D17" s="120"/>
      <c r="E17" s="120"/>
      <c r="F17" s="121"/>
      <c r="G17" s="1"/>
    </row>
    <row r="18" spans="1:7" x14ac:dyDescent="0.25">
      <c r="A18" s="1"/>
      <c r="B18" s="1"/>
      <c r="C18" s="1"/>
      <c r="D18" s="1"/>
      <c r="E18" s="1"/>
      <c r="F18" s="1"/>
      <c r="G18" s="1"/>
    </row>
    <row r="19" spans="1:7" x14ac:dyDescent="0.25">
      <c r="A19" s="1"/>
      <c r="B19" s="69" t="s">
        <v>257</v>
      </c>
      <c r="C19" s="70"/>
      <c r="D19" s="70"/>
      <c r="E19" s="70"/>
      <c r="F19" s="71"/>
      <c r="G19" s="1"/>
    </row>
    <row r="20" spans="1:7" x14ac:dyDescent="0.25">
      <c r="A20" s="1"/>
      <c r="B20" s="65" t="s">
        <v>258</v>
      </c>
      <c r="C20" s="66"/>
      <c r="D20" s="67"/>
      <c r="E20" s="9">
        <v>63124437</v>
      </c>
      <c r="F20" s="14" t="s">
        <v>3</v>
      </c>
      <c r="G20" s="1"/>
    </row>
    <row r="21" spans="1:7" x14ac:dyDescent="0.25">
      <c r="A21" s="1"/>
      <c r="B21" s="65" t="s">
        <v>259</v>
      </c>
      <c r="C21" s="66"/>
      <c r="D21" s="67"/>
      <c r="E21" s="9">
        <v>66134165</v>
      </c>
      <c r="F21" s="14" t="s">
        <v>3</v>
      </c>
      <c r="G21" s="1"/>
    </row>
    <row r="22" spans="1:7" x14ac:dyDescent="0.25">
      <c r="A22" s="1"/>
      <c r="B22" s="65" t="s">
        <v>29</v>
      </c>
      <c r="C22" s="66"/>
      <c r="D22" s="67"/>
      <c r="E22" s="9">
        <v>0</v>
      </c>
      <c r="F22" s="14" t="s">
        <v>3</v>
      </c>
      <c r="G22" s="1"/>
    </row>
    <row r="23" spans="1:7" x14ac:dyDescent="0.25">
      <c r="A23" s="1"/>
      <c r="B23" s="73" t="s">
        <v>260</v>
      </c>
      <c r="C23" s="74"/>
      <c r="D23" s="75"/>
      <c r="E23" s="10">
        <f>E20-(E21-E22)</f>
        <v>-3009728</v>
      </c>
      <c r="F23" s="17" t="s">
        <v>3</v>
      </c>
      <c r="G23" s="1"/>
    </row>
    <row r="24" spans="1:7" x14ac:dyDescent="0.25">
      <c r="A24" s="1"/>
      <c r="B24" s="51"/>
      <c r="C24" s="52"/>
      <c r="D24" s="52"/>
      <c r="E24" s="52"/>
      <c r="F24" s="19"/>
      <c r="G24" s="1"/>
    </row>
    <row r="25" spans="1:7" x14ac:dyDescent="0.25">
      <c r="A25" s="1"/>
      <c r="B25" s="1"/>
      <c r="C25" s="1"/>
      <c r="D25" s="1"/>
      <c r="E25" s="1"/>
      <c r="F25" s="1"/>
      <c r="G25" s="1"/>
    </row>
    <row r="26" spans="1:7" x14ac:dyDescent="0.25">
      <c r="A26" s="1"/>
      <c r="B26" s="101" t="s">
        <v>261</v>
      </c>
      <c r="C26" s="102"/>
      <c r="D26" s="102"/>
      <c r="E26" s="102"/>
      <c r="F26" s="103"/>
      <c r="G26" s="1"/>
    </row>
    <row r="27" spans="1:7" x14ac:dyDescent="0.25">
      <c r="A27" s="1"/>
      <c r="B27" s="129" t="s">
        <v>262</v>
      </c>
      <c r="C27" s="130"/>
      <c r="D27" s="131"/>
      <c r="E27" s="61">
        <f>IF(AND(E15&lt;0,E23&gt;0,ABS(SUM(E14:E15))&lt;E23),ABS(E14),IF(AND(E15&lt;0,E23&gt;0,ABS(SUM(E14:E15))&gt;E23),SUM(E14,E23),0))</f>
        <v>0</v>
      </c>
      <c r="F27" s="17" t="s">
        <v>3</v>
      </c>
      <c r="G27" s="1"/>
    </row>
    <row r="28" spans="1:7" x14ac:dyDescent="0.25">
      <c r="A28" s="1"/>
      <c r="B28" s="101"/>
      <c r="C28" s="102"/>
      <c r="D28" s="102"/>
      <c r="E28" s="102"/>
      <c r="F28" s="103"/>
      <c r="G28" s="1"/>
    </row>
    <row r="29" spans="1:7" x14ac:dyDescent="0.25">
      <c r="A29" s="1"/>
      <c r="B29" s="1"/>
      <c r="C29" s="1"/>
      <c r="D29" s="1"/>
      <c r="E29" s="1"/>
      <c r="F29" s="1"/>
      <c r="G29" s="1"/>
    </row>
    <row r="30" spans="1:7" x14ac:dyDescent="0.25">
      <c r="A30" s="1"/>
      <c r="B30" s="101" t="s">
        <v>263</v>
      </c>
      <c r="C30" s="102"/>
      <c r="D30" s="102"/>
      <c r="E30" s="102"/>
      <c r="F30" s="103"/>
      <c r="G30" s="1"/>
    </row>
    <row r="31" spans="1:7" x14ac:dyDescent="0.25">
      <c r="A31" s="1"/>
      <c r="B31" s="122" t="s">
        <v>117</v>
      </c>
      <c r="C31" s="123"/>
      <c r="D31" s="124"/>
      <c r="E31" s="62">
        <f>IF(AND(E9&gt;0,(E9+E23)&gt;0),0,IF(AND(E9&gt;0,(E9+E23)&lt;0),(E9+E23),IF(AND(E9&lt;0,E23&lt;0),E23,0)))</f>
        <v>-3009728</v>
      </c>
      <c r="F31" s="14" t="s">
        <v>3</v>
      </c>
      <c r="G31" s="1"/>
    </row>
    <row r="32" spans="1:7" x14ac:dyDescent="0.25">
      <c r="A32" s="1"/>
      <c r="B32" s="122" t="s">
        <v>85</v>
      </c>
      <c r="C32" s="123"/>
      <c r="D32" s="124"/>
      <c r="E32" s="9">
        <v>2</v>
      </c>
      <c r="F32" s="14" t="s">
        <v>18</v>
      </c>
      <c r="G32" s="1"/>
    </row>
    <row r="33" spans="1:7" x14ac:dyDescent="0.25">
      <c r="A33" s="1"/>
      <c r="B33" s="125" t="s">
        <v>116</v>
      </c>
      <c r="C33" s="125"/>
      <c r="D33" s="125"/>
      <c r="E33" s="61">
        <f>E31/E32</f>
        <v>-1504864</v>
      </c>
      <c r="F33" s="17" t="s">
        <v>3</v>
      </c>
      <c r="G33" s="1"/>
    </row>
    <row r="34" spans="1:7" x14ac:dyDescent="0.25">
      <c r="A34" s="1"/>
      <c r="B34" s="126"/>
      <c r="C34" s="127"/>
      <c r="D34" s="127"/>
      <c r="E34" s="127"/>
      <c r="F34" s="128"/>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tfx5G1Yx12hlkUViedMDkPPySayRhd2zzmFdgqKicLC7AUGjokfvLwKVTpiKtqg7stbJWAb9QtlaMYOFlVX88w==" saltValue="OUHPXrT/NFBUxHLEh/BSFw==" spinCount="100000" sheet="1" objects="1" scenarios="1"/>
  <mergeCells count="16">
    <mergeCell ref="B31:D31"/>
    <mergeCell ref="B32:D32"/>
    <mergeCell ref="B33:D33"/>
    <mergeCell ref="B34:F34"/>
    <mergeCell ref="B15:D15"/>
    <mergeCell ref="B17:F17"/>
    <mergeCell ref="B26:F26"/>
    <mergeCell ref="B27:D27"/>
    <mergeCell ref="B28:F28"/>
    <mergeCell ref="B30:F30"/>
    <mergeCell ref="B14:D14"/>
    <mergeCell ref="B3:F4"/>
    <mergeCell ref="B8:F8"/>
    <mergeCell ref="B9:D9"/>
    <mergeCell ref="B11:F11"/>
    <mergeCell ref="B13:F13"/>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7" t="s">
        <v>183</v>
      </c>
      <c r="C3" s="97"/>
      <c r="D3" s="97"/>
      <c r="E3" s="97"/>
      <c r="F3" s="97"/>
      <c r="G3" s="97"/>
      <c r="H3" s="97"/>
      <c r="I3" s="1"/>
    </row>
    <row r="4" spans="1:9" ht="15" customHeight="1" x14ac:dyDescent="0.25">
      <c r="A4" s="1"/>
      <c r="B4" s="97"/>
      <c r="C4" s="97"/>
      <c r="D4" s="97"/>
      <c r="E4" s="97"/>
      <c r="F4" s="97"/>
      <c r="G4" s="97"/>
      <c r="H4" s="9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1" t="s">
        <v>184</v>
      </c>
      <c r="C8" s="102"/>
      <c r="D8" s="102"/>
      <c r="E8" s="102"/>
      <c r="F8" s="102"/>
      <c r="G8" s="102"/>
      <c r="H8" s="103"/>
      <c r="I8" s="1"/>
    </row>
    <row r="9" spans="1:9" ht="15" customHeight="1" x14ac:dyDescent="0.25">
      <c r="A9" s="1"/>
      <c r="B9" s="132" t="s">
        <v>234</v>
      </c>
      <c r="C9" s="133"/>
      <c r="D9" s="133"/>
      <c r="E9" s="133"/>
      <c r="F9" s="133"/>
      <c r="G9" s="133"/>
      <c r="H9" s="134"/>
      <c r="I9" s="1"/>
    </row>
    <row r="10" spans="1:9" x14ac:dyDescent="0.25">
      <c r="A10" s="1"/>
      <c r="B10" s="135" t="s">
        <v>185</v>
      </c>
      <c r="C10" s="136"/>
      <c r="D10" s="136"/>
      <c r="E10" s="136"/>
      <c r="F10" s="137"/>
      <c r="G10" s="45"/>
      <c r="H10" s="9" t="s">
        <v>3</v>
      </c>
      <c r="I10" s="1"/>
    </row>
    <row r="11" spans="1:9" x14ac:dyDescent="0.25">
      <c r="A11" s="1"/>
      <c r="B11" s="135" t="s">
        <v>186</v>
      </c>
      <c r="C11" s="136"/>
      <c r="D11" s="136"/>
      <c r="E11" s="136"/>
      <c r="F11" s="137"/>
      <c r="G11" s="45"/>
      <c r="H11" s="9" t="s">
        <v>3</v>
      </c>
      <c r="I11" s="1"/>
    </row>
    <row r="12" spans="1:9" x14ac:dyDescent="0.25">
      <c r="A12" s="1"/>
      <c r="B12" s="135" t="s">
        <v>187</v>
      </c>
      <c r="C12" s="136"/>
      <c r="D12" s="136"/>
      <c r="E12" s="136"/>
      <c r="F12" s="137"/>
      <c r="G12" s="9"/>
      <c r="H12" s="9" t="s">
        <v>3</v>
      </c>
      <c r="I12" s="1"/>
    </row>
    <row r="13" spans="1:9" x14ac:dyDescent="0.25">
      <c r="A13" s="1"/>
      <c r="B13" s="135" t="s">
        <v>188</v>
      </c>
      <c r="C13" s="136"/>
      <c r="D13" s="136"/>
      <c r="E13" s="136"/>
      <c r="F13" s="137"/>
      <c r="G13" s="9"/>
      <c r="H13" s="9" t="s">
        <v>3</v>
      </c>
      <c r="I13" s="1"/>
    </row>
    <row r="14" spans="1:9" x14ac:dyDescent="0.25">
      <c r="A14" s="1"/>
      <c r="B14" s="135" t="s">
        <v>189</v>
      </c>
      <c r="C14" s="136"/>
      <c r="D14" s="136"/>
      <c r="E14" s="136"/>
      <c r="F14" s="137"/>
      <c r="G14" s="9"/>
      <c r="H14" s="9" t="s">
        <v>3</v>
      </c>
      <c r="I14" s="1"/>
    </row>
    <row r="15" spans="1:9" x14ac:dyDescent="0.25">
      <c r="A15" s="1"/>
      <c r="B15" s="135" t="s">
        <v>190</v>
      </c>
      <c r="C15" s="136"/>
      <c r="D15" s="136"/>
      <c r="E15" s="136"/>
      <c r="F15" s="137"/>
      <c r="G15" s="9"/>
      <c r="H15" s="9" t="s">
        <v>3</v>
      </c>
      <c r="I15" s="1"/>
    </row>
    <row r="16" spans="1:9" x14ac:dyDescent="0.25">
      <c r="A16" s="1"/>
      <c r="B16" s="135" t="s">
        <v>191</v>
      </c>
      <c r="C16" s="136"/>
      <c r="D16" s="136"/>
      <c r="E16" s="136"/>
      <c r="F16" s="137"/>
      <c r="G16" s="9"/>
      <c r="H16" s="9" t="s">
        <v>3</v>
      </c>
      <c r="I16" s="1"/>
    </row>
    <row r="17" spans="1:9" x14ac:dyDescent="0.25">
      <c r="A17" s="1"/>
      <c r="B17" s="135" t="s">
        <v>192</v>
      </c>
      <c r="C17" s="136"/>
      <c r="D17" s="136"/>
      <c r="E17" s="136"/>
      <c r="F17" s="137"/>
      <c r="G17" s="9"/>
      <c r="H17" s="9" t="s">
        <v>3</v>
      </c>
      <c r="I17" s="1"/>
    </row>
    <row r="18" spans="1:9" x14ac:dyDescent="0.25">
      <c r="A18" s="1"/>
      <c r="B18" s="101" t="s">
        <v>193</v>
      </c>
      <c r="C18" s="102"/>
      <c r="D18" s="102"/>
      <c r="E18" s="102"/>
      <c r="F18" s="103"/>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9mFfsscX3BiOUr/66SFzGY9qKaq/XNKkNYpO8FxE8hstPUdH/ZgEa8Lh8Xm3PW2jjbXc75pq62Fks+X4pA4FJw==" saltValue="5zSJjUhFSbKo4XEfCo5kxA=="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7" t="s">
        <v>177</v>
      </c>
      <c r="C3" s="97"/>
      <c r="D3" s="97"/>
      <c r="E3" s="97"/>
      <c r="F3" s="97"/>
      <c r="G3" s="97"/>
      <c r="H3" s="97"/>
      <c r="I3" s="97"/>
      <c r="J3" s="97"/>
      <c r="K3" s="97"/>
      <c r="L3" s="1"/>
    </row>
    <row r="4" spans="1:12" ht="15" customHeight="1" x14ac:dyDescent="0.25">
      <c r="A4" s="1"/>
      <c r="B4" s="97"/>
      <c r="C4" s="97"/>
      <c r="D4" s="97"/>
      <c r="E4" s="97"/>
      <c r="F4" s="97"/>
      <c r="G4" s="97"/>
      <c r="H4" s="97"/>
      <c r="I4" s="97"/>
      <c r="J4" s="97"/>
      <c r="K4" s="9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1" t="s">
        <v>155</v>
      </c>
      <c r="C8" s="102"/>
      <c r="D8" s="102"/>
      <c r="E8" s="102"/>
      <c r="F8" s="102"/>
      <c r="G8" s="102"/>
      <c r="H8" s="102"/>
      <c r="I8" s="102"/>
      <c r="J8" s="102"/>
      <c r="K8" s="103"/>
      <c r="L8" s="1"/>
    </row>
    <row r="9" spans="1:12" ht="39.75" customHeight="1" x14ac:dyDescent="0.25">
      <c r="A9" s="1"/>
      <c r="B9" s="18" t="s">
        <v>0</v>
      </c>
      <c r="C9" s="18" t="s">
        <v>1</v>
      </c>
      <c r="D9" s="138" t="s">
        <v>170</v>
      </c>
      <c r="E9" s="139"/>
      <c r="F9" s="138" t="s">
        <v>2</v>
      </c>
      <c r="G9" s="139"/>
      <c r="H9" s="138" t="s">
        <v>171</v>
      </c>
      <c r="I9" s="139"/>
      <c r="J9" s="138" t="s">
        <v>26</v>
      </c>
      <c r="K9" s="139"/>
      <c r="L9" s="1"/>
    </row>
    <row r="10" spans="1:12" x14ac:dyDescent="0.25">
      <c r="A10" s="1"/>
      <c r="B10" s="78" t="s">
        <v>238</v>
      </c>
      <c r="C10" s="31">
        <v>0</v>
      </c>
      <c r="D10" s="9">
        <v>0</v>
      </c>
      <c r="E10" s="14" t="s">
        <v>3</v>
      </c>
      <c r="F10" s="55">
        <f>IFERROR(D10/C10,0)</f>
        <v>0</v>
      </c>
      <c r="G10" s="14" t="s">
        <v>3</v>
      </c>
      <c r="H10" s="9">
        <v>0</v>
      </c>
      <c r="I10" s="14" t="s">
        <v>3</v>
      </c>
      <c r="J10" s="9">
        <v>0</v>
      </c>
      <c r="K10" s="14" t="s">
        <v>3</v>
      </c>
      <c r="L10" s="1"/>
    </row>
    <row r="11" spans="1:12" x14ac:dyDescent="0.25">
      <c r="A11" s="1"/>
      <c r="B11" s="51" t="s">
        <v>215</v>
      </c>
      <c r="C11" s="52"/>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pk039xLvWb4HF4IuwAu15XoRoPqf0vJnAm4ZU8CFQvtA4ryBXfXYA+mjUn6iHR5DSxEIgtOtEqa9yPfROveMAQ==" saltValue="WyVNkXTiEdXZqGWruCeAE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178</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1" t="s">
        <v>70</v>
      </c>
      <c r="C8" s="52"/>
      <c r="D8" s="52"/>
      <c r="E8" s="52"/>
      <c r="F8" s="19"/>
      <c r="G8" s="1"/>
    </row>
    <row r="9" spans="1:7" ht="17.25" customHeight="1" x14ac:dyDescent="0.25">
      <c r="A9" s="1"/>
      <c r="B9" s="76" t="s">
        <v>15</v>
      </c>
      <c r="C9" s="76" t="s">
        <v>10</v>
      </c>
      <c r="D9" s="77"/>
      <c r="E9" s="76"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248</v>
      </c>
      <c r="C11" s="21">
        <v>0</v>
      </c>
      <c r="D11" s="14" t="s">
        <v>3</v>
      </c>
      <c r="E11" s="9">
        <v>891304</v>
      </c>
      <c r="F11" s="14" t="s">
        <v>3</v>
      </c>
      <c r="G11" s="1"/>
    </row>
    <row r="12" spans="1:7" x14ac:dyDescent="0.25">
      <c r="A12" s="1"/>
      <c r="B12" s="27" t="s">
        <v>249</v>
      </c>
      <c r="C12" s="21">
        <v>87078</v>
      </c>
      <c r="D12" s="14" t="s">
        <v>3</v>
      </c>
      <c r="E12" s="9">
        <v>27208</v>
      </c>
      <c r="F12" s="14" t="s">
        <v>3</v>
      </c>
      <c r="G12" s="1"/>
    </row>
    <row r="13" spans="1:7" x14ac:dyDescent="0.25">
      <c r="A13" s="1"/>
      <c r="B13" s="27"/>
      <c r="C13" s="21"/>
      <c r="D13" s="14" t="s">
        <v>3</v>
      </c>
      <c r="E13" s="9"/>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1" t="s">
        <v>151</v>
      </c>
      <c r="C17" s="12">
        <f>SUM(C10:C16)</f>
        <v>87078</v>
      </c>
      <c r="D17" s="13" t="s">
        <v>3</v>
      </c>
      <c r="E17" s="12">
        <f>SUM(E10:E16)</f>
        <v>918512</v>
      </c>
      <c r="F17" s="13" t="s">
        <v>3</v>
      </c>
      <c r="G17" s="1"/>
    </row>
    <row r="18" spans="1:7" x14ac:dyDescent="0.25">
      <c r="A18" s="1"/>
      <c r="B18" s="51" t="s">
        <v>209</v>
      </c>
      <c r="C18" s="12">
        <f>C17*(1+'Fane 13. Nøgletal'!C16)</f>
        <v>94113.902399999992</v>
      </c>
      <c r="D18" s="13" t="s">
        <v>3</v>
      </c>
      <c r="E18" s="12">
        <f>E17*(1+'Fane 13. Nøgletal'!C16)</f>
        <v>992727.7696</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lFt38e6r/5L7gzwpvQl2CDDAgbAdXkX90fQGN/phSw06abRoJ139ELt+H1tUOirVUY3slMCinRObhbGS+X3ifA==" saltValue="0PxhNRBP+cc5ck6NpZFWX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179</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1" t="s">
        <v>217</v>
      </c>
      <c r="C9" s="102"/>
      <c r="D9" s="102"/>
      <c r="E9" s="102"/>
      <c r="F9" s="103"/>
      <c r="G9" s="1"/>
    </row>
    <row r="10" spans="1:7" ht="26.25" x14ac:dyDescent="0.25">
      <c r="A10" s="1"/>
      <c r="B10" s="76" t="s">
        <v>15</v>
      </c>
      <c r="C10" s="76" t="s">
        <v>10</v>
      </c>
      <c r="D10" s="77"/>
      <c r="E10" s="76" t="s">
        <v>27</v>
      </c>
      <c r="F10" s="30"/>
      <c r="G10" s="1"/>
    </row>
    <row r="11" spans="1:7" x14ac:dyDescent="0.25">
      <c r="A11" s="1"/>
      <c r="B11" s="23" t="s">
        <v>250</v>
      </c>
      <c r="C11" s="21"/>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1" t="s">
        <v>218</v>
      </c>
      <c r="C14" s="12">
        <f>SUM(C11:C13)</f>
        <v>0</v>
      </c>
      <c r="D14" s="13" t="s">
        <v>3</v>
      </c>
      <c r="E14" s="12">
        <f>SUM(E11:E13)</f>
        <v>0</v>
      </c>
      <c r="F14" s="13" t="s">
        <v>3</v>
      </c>
      <c r="G14" s="1"/>
    </row>
    <row r="15" spans="1:7" x14ac:dyDescent="0.25">
      <c r="A15" s="1"/>
      <c r="B15" s="51"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W8F2XxtDzCTat6n9UvYR1xPx80XRZa849dsTxMCekmJ1nNY63fO7Rp2wbHhYEI0ZpQmzw3j1ji0KXSJxU5UCOw==" saltValue="uST/f8iaI7l1FWa49jLq1Q=="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180</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1" t="s">
        <v>104</v>
      </c>
      <c r="C8" s="102"/>
      <c r="D8" s="102"/>
      <c r="E8" s="102"/>
      <c r="F8" s="103"/>
      <c r="G8" s="1"/>
    </row>
    <row r="9" spans="1:7" ht="15" customHeight="1" x14ac:dyDescent="0.25">
      <c r="A9" s="1"/>
      <c r="B9" s="53" t="s">
        <v>105</v>
      </c>
      <c r="C9" s="132" t="s">
        <v>10</v>
      </c>
      <c r="D9" s="134"/>
      <c r="E9" s="132" t="s">
        <v>27</v>
      </c>
      <c r="F9" s="134"/>
      <c r="G9" s="1"/>
    </row>
    <row r="10" spans="1:7" ht="26.25" x14ac:dyDescent="0.25">
      <c r="A10" s="1"/>
      <c r="B10" s="57"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65z+olU6T5Ebm4nQCcNpRDZnArEFUUlQSjpma5KbWe+FdcPj+KgEdpKy9LQ1hSrZcOkaXnU5lQgow+phBxu8gA==" saltValue="obz67kL+sse0qwqZDyaggQ=="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181</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1" t="s">
        <v>237</v>
      </c>
      <c r="C10" s="102"/>
      <c r="D10" s="102"/>
      <c r="E10" s="102"/>
      <c r="F10" s="103"/>
      <c r="G10" s="1"/>
    </row>
    <row r="11" spans="1:7" ht="26.25" x14ac:dyDescent="0.25">
      <c r="A11" s="1"/>
      <c r="B11" s="53" t="s">
        <v>16</v>
      </c>
      <c r="C11" s="53" t="s">
        <v>10</v>
      </c>
      <c r="D11" s="30"/>
      <c r="E11" s="53" t="s">
        <v>27</v>
      </c>
      <c r="F11" s="30"/>
      <c r="G11" s="1"/>
    </row>
    <row r="12" spans="1:7" x14ac:dyDescent="0.25">
      <c r="A12" s="1"/>
      <c r="B12" s="57" t="s">
        <v>242</v>
      </c>
      <c r="C12" s="9">
        <v>0</v>
      </c>
      <c r="D12" s="14" t="s">
        <v>3</v>
      </c>
      <c r="E12" s="9">
        <v>0</v>
      </c>
      <c r="F12" s="14" t="s">
        <v>3</v>
      </c>
      <c r="G12" s="1"/>
    </row>
    <row r="13" spans="1:7" x14ac:dyDescent="0.25">
      <c r="A13" s="1"/>
      <c r="B13" s="51" t="s">
        <v>78</v>
      </c>
      <c r="C13" s="12">
        <f>SUM(C12:C12)</f>
        <v>0</v>
      </c>
      <c r="D13" s="13" t="s">
        <v>3</v>
      </c>
      <c r="E13" s="12">
        <f>SUM(E12:E12)</f>
        <v>0</v>
      </c>
      <c r="F13" s="13" t="s">
        <v>3</v>
      </c>
      <c r="G13" s="1"/>
    </row>
    <row r="14" spans="1:7" x14ac:dyDescent="0.25">
      <c r="A14" s="1"/>
      <c r="B14" s="51"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Z112cffjyG+YSOyns8hxAmGY9Cf5TPz94mbTaO3vXlJtcJuko/2T3JnMQfQm1oWm8aiwI4MwiVinDslBNL1XRA==" saltValue="1lM88TExYgvjIhisIjDEkw=="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100" t="s">
        <v>182</v>
      </c>
      <c r="C3" s="100"/>
      <c r="D3" s="1"/>
    </row>
    <row r="4" spans="1:4" ht="25.5" customHeight="1" x14ac:dyDescent="0.25">
      <c r="A4" s="1"/>
      <c r="B4" s="100"/>
      <c r="C4" s="100"/>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1" t="s">
        <v>13</v>
      </c>
      <c r="C8" s="39"/>
      <c r="D8" s="1"/>
    </row>
    <row r="9" spans="1:4" x14ac:dyDescent="0.25">
      <c r="A9" s="1"/>
      <c r="B9" s="68" t="s">
        <v>93</v>
      </c>
      <c r="C9" s="40">
        <v>1.2699999999999999E-2</v>
      </c>
      <c r="D9" s="1"/>
    </row>
    <row r="10" spans="1:4" x14ac:dyDescent="0.25">
      <c r="A10" s="1"/>
      <c r="B10" s="68" t="s">
        <v>21</v>
      </c>
      <c r="C10" s="40">
        <v>1.7500000000000002E-2</v>
      </c>
      <c r="D10" s="1"/>
    </row>
    <row r="11" spans="1:4" x14ac:dyDescent="0.25">
      <c r="A11" s="1"/>
      <c r="B11" s="68"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1"/>
      <c r="C17" s="103"/>
      <c r="D17" s="1"/>
    </row>
    <row r="18" spans="1:4" x14ac:dyDescent="0.25">
      <c r="A18" s="1"/>
      <c r="B18" s="1"/>
      <c r="C18" s="38"/>
      <c r="D18" s="1"/>
    </row>
    <row r="19" spans="1:4" x14ac:dyDescent="0.25">
      <c r="A19" s="1"/>
      <c r="B19" s="1"/>
      <c r="C19" s="38"/>
      <c r="D19" s="1"/>
    </row>
    <row r="20" spans="1:4" x14ac:dyDescent="0.25">
      <c r="A20" s="1"/>
      <c r="B20" s="51" t="s">
        <v>81</v>
      </c>
      <c r="C20" s="39"/>
      <c r="D20" s="1"/>
    </row>
    <row r="21" spans="1:4" x14ac:dyDescent="0.25">
      <c r="A21" s="1"/>
      <c r="B21" s="68" t="s">
        <v>95</v>
      </c>
      <c r="C21" s="42">
        <v>9.1000000000000004E-3</v>
      </c>
      <c r="D21" s="1"/>
    </row>
    <row r="22" spans="1:4" x14ac:dyDescent="0.25">
      <c r="A22" s="1"/>
      <c r="B22" s="68" t="s">
        <v>96</v>
      </c>
      <c r="C22" s="42">
        <v>1.77E-2</v>
      </c>
      <c r="D22" s="1"/>
    </row>
    <row r="23" spans="1:4" x14ac:dyDescent="0.25">
      <c r="A23" s="1"/>
      <c r="B23" s="68" t="s">
        <v>97</v>
      </c>
      <c r="C23" s="42">
        <v>8.6999999999999994E-3</v>
      </c>
      <c r="D23" s="1"/>
    </row>
    <row r="24" spans="1:4" x14ac:dyDescent="0.25">
      <c r="A24" s="1"/>
      <c r="B24" s="68" t="s">
        <v>98</v>
      </c>
      <c r="C24" s="42">
        <v>2.8400000000000002E-2</v>
      </c>
      <c r="D24" s="1"/>
    </row>
    <row r="25" spans="1:4" x14ac:dyDescent="0.25">
      <c r="A25" s="1"/>
      <c r="B25" s="68" t="s">
        <v>111</v>
      </c>
      <c r="C25" s="42">
        <v>2.75E-2</v>
      </c>
      <c r="D25" s="1"/>
    </row>
    <row r="26" spans="1:4" x14ac:dyDescent="0.25">
      <c r="A26" s="1"/>
      <c r="B26" s="68"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1"/>
      <c r="C29" s="39"/>
      <c r="D29" s="1"/>
    </row>
    <row r="30" spans="1:4" x14ac:dyDescent="0.25">
      <c r="A30" s="1"/>
      <c r="B30" s="1"/>
      <c r="C30" s="38"/>
      <c r="D30" s="1"/>
    </row>
    <row r="31" spans="1:4" x14ac:dyDescent="0.25">
      <c r="A31" s="1"/>
      <c r="B31" s="1"/>
      <c r="C31" s="38"/>
      <c r="D31" s="1"/>
    </row>
    <row r="32" spans="1:4" x14ac:dyDescent="0.25">
      <c r="A32" s="1"/>
      <c r="B32" s="51" t="s">
        <v>82</v>
      </c>
      <c r="C32" s="39"/>
      <c r="D32" s="1"/>
    </row>
    <row r="33" spans="1:4" x14ac:dyDescent="0.25">
      <c r="A33" s="1"/>
      <c r="B33" s="68" t="s">
        <v>99</v>
      </c>
      <c r="C33" s="40">
        <v>0.02</v>
      </c>
      <c r="D33" s="1"/>
    </row>
    <row r="34" spans="1:4" x14ac:dyDescent="0.25">
      <c r="A34" s="1"/>
      <c r="B34" s="51"/>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mlBZJCpro+LUhSjsl8ZrNsJSYwh5RXpPliBwHp9qG3MZC7AGr+ft3GJvYrWh+SRJ1CTBl49FAmyz4YL3g7tt8w==" saltValue="Btm1oVL0yBjH4Rq2c7Ukng=="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2023-11-14T17:09:53Z</dcterms:modified>
</cp:coreProperties>
</file>