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TK Vand AS (V09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6" i="19"/>
  <c r="C17"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<sst xmlns="http://schemas.openxmlformats.org/spreadsheetml/2006/main" count="513" uniqueCount="256">
  <si>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</si>
  <si>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</si>
  <si>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</si>
  <si>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</si>
  <si>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</si>
  <si>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</si>
  <si>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</si>
  <si>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</si>
  <si>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</si>
  <si>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</si>
  <si>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</si>
  <si>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</si>
  <si>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</si>
  <si>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</si>
  <si>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</si>
  <si>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</si>
  <si>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</si>
  <si>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</si>
  <si>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</si>
  <si>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</si>
  <si>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</si>
  <si>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</si>
  <si>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</si>
  <si>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</si>
  <si>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</si>
  <si>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</si>
  <si>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</si>
  <si>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</si>
  <si>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</si>
  <si>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</si>
  <si>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</si>
  <si>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</si>
  <si>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</si>
  <si>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</si>
  <si>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</si>
  <si>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</si>
  <si>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</si>
  <si>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</si>
  <si>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</si>
  <si>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</si>
  <si>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</si>
  <si>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</si>
  <si>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</si>
  <si>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</si>
  <si>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</si>
  <si>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</si>
  <si>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</si>
  <si>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</si>
  <si>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</si>
  <si>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</si>
  <si>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</si>
  <si>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</si>
  <si>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</si>
  <si>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</si>
  <si>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</si>
  <si>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</si>
  <si>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</si>
  <si>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</si>
  <si>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</si>
  <si>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</si>
  <si>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</si>
  <si>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</si>
  <si>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</si>
  <si>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</si>
  <si>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</si>
  <si>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</si>
  <si>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</si>
  <si>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</si>
  <si>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</si>
  <si>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</si>
  <si>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</si>
  <si>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</si>
  <si>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</si>
  <si>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</si>
  <si>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</si>
  <si>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</si>
  <si>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</si>
  <si>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</si>
  <si>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</si>
  <si>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</si>
  <si>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</si>
  <si>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</si>
  <si>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</si>
  <si>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</si>
  <si>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</si>
  <si>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</si>
  <si>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</si>
  <si>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</si>
  <si>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</si>
  <si>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</si>
  <si>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</si>
  <si>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</si>
  <si>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</si>
  <si>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</si>
  <si>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</si>
  <si>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</si>
  <si>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</si>
  <si>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</si>
  <si>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</si>
  <si>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</si>
  <si>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</si>
  <si>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</si>
  <si>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</si>
  <si>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</si>
  <si>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</si>
  <si>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</si>
  <si>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</si>
  <si>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</si>
  <si>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</si>
  <si>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</si>
  <si>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</si>
  <si>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</si>
  <si>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</si>
  <si>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</si>
  <si>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</si>
  <si>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</si>
  <si>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</si>
  <si>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</si>
  <si>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</si>
  <si>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</si>
  <si>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</si>
  <si>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</si>
  <si>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</si>
  <si>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</si>
  <si>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</si>
  <si>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</si>
  <si>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</si>
  <si>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</si>
  <si>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</si>
  <si>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</si>
  <si>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</si>
  <si>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</si>
  <si>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</si>
  <si>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</si>
  <si>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</si>
  <si>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</si>
  <si>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</si>
  <si>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</si>
  <si>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</si>
  <si>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</si>
  <si>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</si>
  <si>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</si>
  <si>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</si>
  <si>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</si>
  <si>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</si>
  <si>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</si>
  <si>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</si>
  <si>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</si>
  <si>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</si>
  <si>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</si>
  <si>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</si>
  <si>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</si>
  <si>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</si>
  <si>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</si>
  <si>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</si>
  <si>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</si>
  <si>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</si>
  <si>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</si>
  <si>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</si>
  <si>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</si>
  <si>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</si>
  <si>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</si>
  <si>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</si>
  <si>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</si>
  <si>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</si>
  <si>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</si>
  <si>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</si>
  <si>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</si>
  <si>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</si>
  <si>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</si>
  <si>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</si>
  <si>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</si>
  <si>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</si>
  <si>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</si>
  <si>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</si>
  <si>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</si>
  <si>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</si>
  <si>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</si>
  <si>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</si>
  <si>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</si>
  <si>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</si>
  <si>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</si>
  <si>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</si>
  <si>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</si>
  <si>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</si>
  <si>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</si>
  <si>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</si>
  <si>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</si>
  <si>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</si>
  <si>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</si>
  <si>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</si>
  <si>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</si>
  <si>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</si>
  <si>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</si>
  <si>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</si>
  <si>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</si>
  <si>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</si>
  <si>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</si>
  <si>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</si>
  <si>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</si>
  <si>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</si>
  <si>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</si>
  <si>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</si>
  <si>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</si>
  <si>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</si>
  <si>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</si>
  <si>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</si>
  <si>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</si>
  <si>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</si>
  <si>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</si>
  <si>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</si>
  <si>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</si>
  <si>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</si>
  <si>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</si>
  <si>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</si>
  <si>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</si>
  <si>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</si>
  <si>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</si>
  <si>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</si>
  <si>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</si>
  <si>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</si>
  <si>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</si>
  <si>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</si>
  <si>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</si>
  <si>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</si>
  <si>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</si>
  <si>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</si>
  <si>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</si>
  <si>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</si>
  <si>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</si>
  <si>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</si>
  <si>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</si>
  <si>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</si>
  <si>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</si>
  <si>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</si>
  <si>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</si>
  <si>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Undersøgelsesudgifter i forbindelse med fusion</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</si>
  <si>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</si>
  <si>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</si>
  <si>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</si>
  <si>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</si>
  <si>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</si>
  <si>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</si>
  <si>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</si>
  <si>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 xml:space="preserve">Udvidelse af forsyningsområdet </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</si>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</sst>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3" fontId="8" fillId="4" borderId="2" xfId="0" applyNumberFormat="1" applyFont="1" applyFill="1" applyBorder="1" applyAlignment="1" applyProtection="1">
      <alignment horizontal="right"/>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3" t="s">
        <v>194</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98" t="s">
        <v>161</v>
      </c>
      <c r="E13" s="99"/>
      <c r="F13" s="99"/>
      <c r="G13" s="100"/>
      <c r="H13" s="1"/>
      <c r="I13" s="1"/>
    </row>
    <row r="14" spans="1:9" x14ac:dyDescent="0.25">
      <c r="A14" s="1"/>
      <c r="B14" s="1"/>
      <c r="C14" s="6" t="s">
        <v>14</v>
      </c>
      <c r="D14" s="98" t="s">
        <v>204</v>
      </c>
      <c r="E14" s="99"/>
      <c r="F14" s="99"/>
      <c r="G14" s="100"/>
      <c r="H14" s="1"/>
      <c r="I14" s="1"/>
    </row>
    <row r="15" spans="1:9" x14ac:dyDescent="0.25">
      <c r="A15" s="1"/>
      <c r="B15" s="1"/>
      <c r="C15" s="6" t="s">
        <v>32</v>
      </c>
      <c r="D15" s="98" t="s">
        <v>137</v>
      </c>
      <c r="E15" s="99"/>
      <c r="F15" s="99"/>
      <c r="G15" s="100"/>
      <c r="H15" s="1"/>
      <c r="I15" s="1"/>
    </row>
    <row r="16" spans="1:9" x14ac:dyDescent="0.25">
      <c r="A16" s="1"/>
      <c r="B16" s="1"/>
      <c r="C16" s="6" t="s">
        <v>33</v>
      </c>
      <c r="D16" s="98" t="s">
        <v>162</v>
      </c>
      <c r="E16" s="99"/>
      <c r="F16" s="99"/>
      <c r="G16" s="100"/>
      <c r="H16" s="1"/>
      <c r="I16" s="1"/>
    </row>
    <row r="17" spans="1:9" x14ac:dyDescent="0.25">
      <c r="A17" s="1"/>
      <c r="B17" s="1"/>
      <c r="C17" s="6" t="s">
        <v>110</v>
      </c>
      <c r="D17" s="98" t="s">
        <v>163</v>
      </c>
      <c r="E17" s="99"/>
      <c r="F17" s="99"/>
      <c r="G17" s="100"/>
      <c r="H17" s="1"/>
      <c r="I17" s="1"/>
    </row>
    <row r="18" spans="1:9" x14ac:dyDescent="0.25">
      <c r="A18" s="1"/>
      <c r="B18" s="1"/>
      <c r="C18" s="6" t="s">
        <v>94</v>
      </c>
      <c r="D18" s="104" t="s">
        <v>86</v>
      </c>
      <c r="E18" s="105"/>
      <c r="F18" s="105"/>
      <c r="G18" s="106"/>
      <c r="H18" s="1"/>
      <c r="I18" s="1"/>
    </row>
    <row r="19" spans="1:9" x14ac:dyDescent="0.25">
      <c r="A19" s="1"/>
      <c r="B19" s="1"/>
      <c r="C19" s="6" t="s">
        <v>95</v>
      </c>
      <c r="D19" s="104" t="s">
        <v>87</v>
      </c>
      <c r="E19" s="105"/>
      <c r="F19" s="105"/>
      <c r="G19" s="106"/>
      <c r="H19" s="1"/>
      <c r="I19" s="1"/>
    </row>
    <row r="20" spans="1:9" x14ac:dyDescent="0.25">
      <c r="A20" s="1"/>
      <c r="B20" s="1"/>
      <c r="C20" s="6" t="s">
        <v>7</v>
      </c>
      <c r="D20" s="104" t="s">
        <v>9</v>
      </c>
      <c r="E20" s="105"/>
      <c r="F20" s="105"/>
      <c r="G20" s="106"/>
      <c r="H20" s="1"/>
      <c r="I20" s="1"/>
    </row>
    <row r="21" spans="1:9" x14ac:dyDescent="0.25">
      <c r="A21" s="1"/>
      <c r="B21" s="1"/>
      <c r="C21" s="6" t="s">
        <v>96</v>
      </c>
      <c r="D21" s="95" t="s">
        <v>11</v>
      </c>
      <c r="E21" s="96"/>
      <c r="F21" s="96"/>
      <c r="G21" s="97"/>
      <c r="H21" s="1"/>
      <c r="I21" s="1"/>
    </row>
    <row r="22" spans="1:9" x14ac:dyDescent="0.25">
      <c r="A22" s="1"/>
      <c r="B22" s="1"/>
      <c r="C22" s="6" t="s">
        <v>78</v>
      </c>
      <c r="D22" s="89" t="s">
        <v>164</v>
      </c>
      <c r="E22" s="90"/>
      <c r="F22" s="90"/>
      <c r="G22" s="91"/>
      <c r="H22" s="1"/>
      <c r="I22" s="1"/>
    </row>
    <row r="23" spans="1:9" x14ac:dyDescent="0.25">
      <c r="A23" s="1"/>
      <c r="B23" s="1"/>
      <c r="C23" s="6" t="s">
        <v>8</v>
      </c>
      <c r="D23" s="89" t="s">
        <v>219</v>
      </c>
      <c r="E23" s="90"/>
      <c r="F23" s="90"/>
      <c r="G23" s="91"/>
      <c r="H23" s="1"/>
      <c r="I23" s="1"/>
    </row>
    <row r="24" spans="1:9" x14ac:dyDescent="0.25">
      <c r="A24" s="1"/>
      <c r="B24" s="1"/>
      <c r="C24" s="6" t="s">
        <v>215</v>
      </c>
      <c r="D24" s="89" t="s">
        <v>205</v>
      </c>
      <c r="E24" s="90"/>
      <c r="F24" s="90"/>
      <c r="G24" s="91"/>
      <c r="H24" s="1"/>
      <c r="I24" s="1"/>
    </row>
    <row r="25" spans="1:9" x14ac:dyDescent="0.25">
      <c r="A25" s="1"/>
      <c r="B25" s="1"/>
      <c r="C25" s="6" t="s">
        <v>216</v>
      </c>
      <c r="D25" s="89" t="s">
        <v>79</v>
      </c>
      <c r="E25" s="90"/>
      <c r="F25" s="90"/>
      <c r="G25" s="91"/>
      <c r="H25" s="1"/>
      <c r="I25" s="1"/>
    </row>
    <row r="26" spans="1:9" x14ac:dyDescent="0.25">
      <c r="A26" s="1"/>
      <c r="B26" s="1"/>
      <c r="C26" s="6" t="s">
        <v>217</v>
      </c>
      <c r="D26" s="89" t="s">
        <v>80</v>
      </c>
      <c r="E26" s="90"/>
      <c r="F26" s="90"/>
      <c r="G26" s="91"/>
      <c r="H26" s="1"/>
      <c r="I26" s="1"/>
    </row>
    <row r="27" spans="1:9" x14ac:dyDescent="0.25">
      <c r="A27" s="1"/>
      <c r="B27" s="1"/>
      <c r="C27" s="6" t="s">
        <v>97</v>
      </c>
      <c r="D27" s="89" t="s">
        <v>111</v>
      </c>
      <c r="E27" s="90"/>
      <c r="F27" s="90"/>
      <c r="G27" s="91"/>
      <c r="H27" s="1"/>
      <c r="I27" s="1"/>
    </row>
    <row r="28" spans="1:9" x14ac:dyDescent="0.25">
      <c r="A28" s="1"/>
      <c r="B28" s="1"/>
      <c r="C28" s="6" t="s">
        <v>91</v>
      </c>
      <c r="D28" s="89" t="s">
        <v>34</v>
      </c>
      <c r="E28" s="90"/>
      <c r="F28" s="90"/>
      <c r="G28" s="91"/>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al7fTw9kIsS3h9Si4/YdPQZ2XbCYGQGUD2bLbBUhzYZc0O2sqonFwOA9e6PnyYORQNhYKSy9e+6hyI7yz99sjA==" saltValue="LTYGGQkt49wwYgBzj6MHm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3"/>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100</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0" t="s">
        <v>181</v>
      </c>
      <c r="C8" s="131"/>
      <c r="D8" s="132"/>
      <c r="E8" s="1"/>
      <c r="F8" s="1"/>
    </row>
    <row r="9" spans="1:6" ht="15" customHeight="1" x14ac:dyDescent="0.25">
      <c r="A9" s="1"/>
      <c r="B9" s="33" t="s">
        <v>30</v>
      </c>
      <c r="C9" s="11" t="s">
        <v>212</v>
      </c>
      <c r="D9" s="11"/>
      <c r="E9" s="1"/>
      <c r="F9" s="1"/>
    </row>
    <row r="10" spans="1:6" x14ac:dyDescent="0.25">
      <c r="A10" s="1"/>
      <c r="B10" s="78" t="s">
        <v>231</v>
      </c>
      <c r="C10" s="9">
        <v>11531090</v>
      </c>
      <c r="D10" s="14" t="s">
        <v>3</v>
      </c>
      <c r="E10" s="1"/>
      <c r="F10" s="1"/>
    </row>
    <row r="11" spans="1:6" x14ac:dyDescent="0.25">
      <c r="A11" s="1"/>
      <c r="B11" s="78" t="s">
        <v>232</v>
      </c>
      <c r="C11" s="9">
        <v>107265</v>
      </c>
      <c r="D11" s="14" t="s">
        <v>3</v>
      </c>
      <c r="E11" s="1"/>
      <c r="F11" s="1"/>
    </row>
    <row r="12" spans="1:6" x14ac:dyDescent="0.25">
      <c r="A12" s="1"/>
      <c r="B12" s="78" t="s">
        <v>233</v>
      </c>
      <c r="C12" s="9">
        <v>5778220</v>
      </c>
      <c r="D12" s="14" t="s">
        <v>3</v>
      </c>
      <c r="E12" s="1"/>
      <c r="F12" s="1"/>
    </row>
    <row r="13" spans="1:6" x14ac:dyDescent="0.25">
      <c r="A13" s="1"/>
      <c r="B13" s="78" t="s">
        <v>234</v>
      </c>
      <c r="C13" s="9">
        <v>10633</v>
      </c>
      <c r="D13" s="14" t="s">
        <v>3</v>
      </c>
      <c r="E13" s="1"/>
      <c r="F13" s="1"/>
    </row>
    <row r="14" spans="1:6" x14ac:dyDescent="0.25">
      <c r="A14" s="1"/>
      <c r="B14" s="78" t="s">
        <v>235</v>
      </c>
      <c r="C14" s="9">
        <v>425700</v>
      </c>
      <c r="D14" s="14" t="s">
        <v>3</v>
      </c>
      <c r="E14" s="1"/>
      <c r="F14" s="1"/>
    </row>
    <row r="15" spans="1:6" x14ac:dyDescent="0.25">
      <c r="A15" s="1"/>
      <c r="B15" s="78" t="s">
        <v>236</v>
      </c>
      <c r="C15" s="9">
        <v>29500</v>
      </c>
      <c r="D15" s="14" t="s">
        <v>3</v>
      </c>
      <c r="E15" s="1"/>
      <c r="F15" s="1"/>
    </row>
    <row r="16" spans="1:6" x14ac:dyDescent="0.25">
      <c r="A16" s="1"/>
      <c r="B16" s="66" t="s">
        <v>182</v>
      </c>
      <c r="C16" s="12">
        <f>SUM(C10:C15)</f>
        <v>17882408</v>
      </c>
      <c r="D16" s="13" t="s">
        <v>3</v>
      </c>
      <c r="E16" s="1"/>
      <c r="F16" s="1"/>
    </row>
    <row r="17" spans="1:6" x14ac:dyDescent="0.25">
      <c r="A17" s="1"/>
      <c r="B17" s="66" t="s">
        <v>183</v>
      </c>
      <c r="C17" s="12">
        <f>C16*(1+'Fane 13. Nøgletal'!C15)^2</f>
        <v>19178298.898202881</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row r="52" spans="1:6" x14ac:dyDescent="0.25">
      <c r="A52" s="55"/>
      <c r="B52" s="55"/>
      <c r="C52" s="55"/>
      <c r="D52" s="55"/>
      <c r="E52" s="55"/>
      <c r="F52" s="55"/>
    </row>
    <row r="53" spans="1:6" x14ac:dyDescent="0.25">
      <c r="A53" s="55"/>
      <c r="B53" s="55"/>
      <c r="C53" s="55"/>
      <c r="D53" s="55"/>
      <c r="E53" s="55"/>
      <c r="F53" s="55"/>
    </row>
  </sheetData>
  <sheetProtection algorithmName="SHA-512" hashValue="OcWUWSjUViu4Eb8fa0WsDZCoMVnEj4pz0p/d0grhaGODhXtHRhjpJ9RJLjRH+Ee2f84h8jHwoVpmmcoDgF2KQg==" saltValue="5QWZTKyJKk8jvZEbQSwmk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184</v>
      </c>
      <c r="C3" s="115"/>
      <c r="D3" s="115"/>
      <c r="E3" s="115"/>
      <c r="F3" s="115"/>
      <c r="G3" s="1"/>
    </row>
    <row r="4" spans="1:7" ht="15" customHeight="1" x14ac:dyDescent="0.25">
      <c r="A4" s="1"/>
      <c r="B4" s="115"/>
      <c r="C4" s="115"/>
      <c r="D4" s="115"/>
      <c r="E4" s="115"/>
      <c r="F4" s="115"/>
      <c r="G4" s="1"/>
    </row>
    <row r="5" spans="1:7" ht="15" customHeight="1" x14ac:dyDescent="0.25">
      <c r="A5" s="1"/>
      <c r="B5" s="73"/>
      <c r="C5" s="73"/>
      <c r="D5" s="73"/>
      <c r="E5" s="73"/>
      <c r="F5" s="73"/>
      <c r="G5" s="1"/>
    </row>
    <row r="6" spans="1:7" ht="15" customHeight="1" x14ac:dyDescent="0.25">
      <c r="A6" s="1"/>
      <c r="B6" s="73"/>
      <c r="C6" s="73"/>
      <c r="D6" s="73"/>
      <c r="E6" s="73"/>
      <c r="F6" s="73"/>
      <c r="G6" s="1"/>
    </row>
    <row r="7" spans="1:7" x14ac:dyDescent="0.25">
      <c r="A7" s="1"/>
      <c r="B7" s="1"/>
      <c r="C7" s="1"/>
      <c r="D7" s="1"/>
      <c r="E7" s="1"/>
      <c r="F7" s="1"/>
      <c r="G7" s="1"/>
    </row>
    <row r="8" spans="1:7" x14ac:dyDescent="0.25">
      <c r="A8" s="1"/>
      <c r="B8" s="130" t="s">
        <v>155</v>
      </c>
      <c r="C8" s="131"/>
      <c r="D8" s="131"/>
      <c r="E8" s="131"/>
      <c r="F8" s="132"/>
      <c r="G8" s="1"/>
    </row>
    <row r="9" spans="1:7" x14ac:dyDescent="0.25">
      <c r="A9" s="1"/>
      <c r="B9" s="133" t="s">
        <v>156</v>
      </c>
      <c r="C9" s="134"/>
      <c r="D9" s="135"/>
      <c r="E9" s="9">
        <v>1193347</v>
      </c>
      <c r="F9" s="14" t="s">
        <v>3</v>
      </c>
      <c r="G9" s="1"/>
    </row>
    <row r="10" spans="1:7" x14ac:dyDescent="0.25">
      <c r="A10" s="1"/>
      <c r="B10" s="148" t="s">
        <v>237</v>
      </c>
      <c r="C10" s="149"/>
      <c r="D10" s="150"/>
      <c r="E10" s="9">
        <v>1193347</v>
      </c>
      <c r="F10" s="54" t="s">
        <v>3</v>
      </c>
      <c r="G10" s="1"/>
    </row>
    <row r="11" spans="1:7" x14ac:dyDescent="0.25">
      <c r="A11" s="1"/>
      <c r="B11" s="133" t="s">
        <v>185</v>
      </c>
      <c r="C11" s="134"/>
      <c r="D11" s="135"/>
      <c r="E11" s="9">
        <v>1656952.0688924491</v>
      </c>
      <c r="F11" s="14" t="s">
        <v>3</v>
      </c>
      <c r="G11" s="1"/>
    </row>
    <row r="12" spans="1:7" x14ac:dyDescent="0.25">
      <c r="A12" s="1"/>
      <c r="B12" s="66"/>
      <c r="C12" s="67"/>
      <c r="D12" s="67"/>
      <c r="E12" s="67"/>
      <c r="F12" s="19"/>
      <c r="G12" s="1"/>
    </row>
    <row r="13" spans="1:7" ht="64.900000000000006" customHeight="1" x14ac:dyDescent="0.25">
      <c r="A13" s="1"/>
      <c r="B13" s="119" t="s">
        <v>253</v>
      </c>
      <c r="C13" s="120"/>
      <c r="D13" s="120"/>
      <c r="E13" s="120"/>
      <c r="F13" s="121"/>
      <c r="G13" s="1"/>
    </row>
    <row r="14" spans="1:7" ht="27" customHeight="1" x14ac:dyDescent="0.25">
      <c r="A14" s="1"/>
      <c r="B14" s="1"/>
      <c r="C14" s="1"/>
      <c r="D14" s="1"/>
      <c r="E14" s="1"/>
      <c r="F14" s="1"/>
      <c r="G14" s="1"/>
    </row>
    <row r="15" spans="1:7" ht="28.5" customHeight="1" x14ac:dyDescent="0.25">
      <c r="A15" s="1"/>
      <c r="B15" s="130" t="s">
        <v>157</v>
      </c>
      <c r="C15" s="131"/>
      <c r="D15" s="131"/>
      <c r="E15" s="131"/>
      <c r="F15" s="132"/>
      <c r="G15" s="1"/>
    </row>
    <row r="16" spans="1:7" x14ac:dyDescent="0.25">
      <c r="A16" s="1"/>
      <c r="B16" s="133" t="s">
        <v>238</v>
      </c>
      <c r="C16" s="134"/>
      <c r="D16" s="135"/>
      <c r="E16" s="9">
        <v>0</v>
      </c>
      <c r="F16" s="14" t="s">
        <v>3</v>
      </c>
      <c r="G16" s="1"/>
    </row>
    <row r="17" spans="1:7" x14ac:dyDescent="0.25">
      <c r="A17" s="1"/>
      <c r="B17" s="133" t="s">
        <v>239</v>
      </c>
      <c r="C17" s="134"/>
      <c r="D17" s="135"/>
      <c r="E17" s="9">
        <v>0</v>
      </c>
      <c r="F17" s="14" t="s">
        <v>3</v>
      </c>
      <c r="G17" s="1"/>
    </row>
    <row r="18" spans="1:7" x14ac:dyDescent="0.25">
      <c r="A18" s="1"/>
      <c r="B18" s="66"/>
      <c r="C18" s="67"/>
      <c r="D18" s="67"/>
      <c r="E18" s="67"/>
      <c r="F18" s="19"/>
      <c r="G18" s="1"/>
    </row>
    <row r="19" spans="1:7" ht="31.5" customHeight="1" x14ac:dyDescent="0.25">
      <c r="A19" s="1"/>
      <c r="B19" s="119" t="s">
        <v>158</v>
      </c>
      <c r="C19" s="120"/>
      <c r="D19" s="120"/>
      <c r="E19" s="120"/>
      <c r="F19" s="121"/>
      <c r="G19" s="1"/>
    </row>
    <row r="20" spans="1:7" ht="28.5" customHeight="1" x14ac:dyDescent="0.25">
      <c r="A20" s="1"/>
      <c r="B20" s="1"/>
      <c r="C20" s="1"/>
      <c r="D20" s="1"/>
      <c r="E20" s="1"/>
      <c r="F20" s="1"/>
      <c r="G20" s="1"/>
    </row>
    <row r="21" spans="1:7" ht="28.5" customHeight="1" x14ac:dyDescent="0.25">
      <c r="A21" s="1"/>
      <c r="B21" s="70" t="s">
        <v>186</v>
      </c>
      <c r="C21" s="71"/>
      <c r="D21" s="71"/>
      <c r="E21" s="71"/>
      <c r="F21" s="72"/>
      <c r="G21" s="1"/>
    </row>
    <row r="22" spans="1:7" x14ac:dyDescent="0.25">
      <c r="A22" s="1"/>
      <c r="B22" s="75" t="s">
        <v>240</v>
      </c>
      <c r="C22" s="76"/>
      <c r="D22" s="77"/>
      <c r="E22" s="9">
        <v>32909709.060918223</v>
      </c>
      <c r="F22" s="14" t="s">
        <v>3</v>
      </c>
      <c r="G22" s="1"/>
    </row>
    <row r="23" spans="1:7" x14ac:dyDescent="0.25">
      <c r="A23" s="1"/>
      <c r="B23" s="75" t="s">
        <v>187</v>
      </c>
      <c r="C23" s="76"/>
      <c r="D23" s="77"/>
      <c r="E23" s="9">
        <v>31888107</v>
      </c>
      <c r="F23" s="14" t="s">
        <v>3</v>
      </c>
      <c r="G23" s="1"/>
    </row>
    <row r="24" spans="1:7" x14ac:dyDescent="0.25">
      <c r="A24" s="1"/>
      <c r="B24" s="75" t="s">
        <v>31</v>
      </c>
      <c r="C24" s="76"/>
      <c r="D24" s="77"/>
      <c r="E24" s="9">
        <v>0</v>
      </c>
      <c r="F24" s="14" t="s">
        <v>3</v>
      </c>
      <c r="G24" s="1"/>
    </row>
    <row r="25" spans="1:7" x14ac:dyDescent="0.25">
      <c r="A25" s="1"/>
      <c r="B25" s="51" t="s">
        <v>254</v>
      </c>
      <c r="C25" s="52"/>
      <c r="D25" s="53"/>
      <c r="E25" s="81">
        <f>E22-(E23-E24)</f>
        <v>1021602.0609182231</v>
      </c>
      <c r="F25" s="17" t="s">
        <v>3</v>
      </c>
      <c r="G25" s="1"/>
    </row>
    <row r="26" spans="1:7" x14ac:dyDescent="0.25">
      <c r="A26" s="1"/>
      <c r="B26" s="66"/>
      <c r="C26" s="67"/>
      <c r="D26" s="67"/>
      <c r="E26" s="67"/>
      <c r="F26" s="19"/>
      <c r="G26" s="1"/>
    </row>
    <row r="27" spans="1:7" x14ac:dyDescent="0.25">
      <c r="A27" s="1"/>
      <c r="B27" s="1"/>
      <c r="C27" s="1"/>
      <c r="D27" s="1"/>
      <c r="E27" s="1"/>
      <c r="F27" s="1"/>
      <c r="G27" s="1"/>
    </row>
    <row r="28" spans="1:7" ht="28.5" customHeight="1" x14ac:dyDescent="0.25">
      <c r="A28" s="1"/>
      <c r="B28" s="130" t="s">
        <v>241</v>
      </c>
      <c r="C28" s="131"/>
      <c r="D28" s="131"/>
      <c r="E28" s="131"/>
      <c r="F28" s="132"/>
      <c r="G28" s="1"/>
    </row>
    <row r="29" spans="1:7" x14ac:dyDescent="0.25">
      <c r="A29" s="1"/>
      <c r="B29" s="151" t="s">
        <v>128</v>
      </c>
      <c r="C29" s="152"/>
      <c r="D29" s="153"/>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51" t="s">
        <v>93</v>
      </c>
      <c r="C30" s="152"/>
      <c r="D30" s="153"/>
      <c r="E30" s="9">
        <v>2</v>
      </c>
      <c r="F30" s="14" t="s">
        <v>18</v>
      </c>
      <c r="G30" s="1"/>
    </row>
    <row r="31" spans="1:7" x14ac:dyDescent="0.25">
      <c r="A31" s="1"/>
      <c r="B31" s="144" t="s">
        <v>127</v>
      </c>
      <c r="C31" s="144"/>
      <c r="D31" s="144"/>
      <c r="E31" s="10">
        <f>E29/E30</f>
        <v>0</v>
      </c>
      <c r="F31" s="17" t="s">
        <v>3</v>
      </c>
      <c r="G31" s="1"/>
    </row>
    <row r="32" spans="1:7" x14ac:dyDescent="0.25">
      <c r="A32" s="1"/>
      <c r="B32" s="145"/>
      <c r="C32" s="146"/>
      <c r="D32" s="146"/>
      <c r="E32" s="146"/>
      <c r="F32" s="1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NmmoB5KH+xIszVpv00r1IIedpeIa9P06Cbb7IEP5/s4ACrBZst0bl073p49kxSsJAoHgtZ4aXaRbefzHI8MsxQ==" saltValue="29WUX/2UsQiWnMbPBsvUNQ=="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226</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0" t="s">
        <v>227</v>
      </c>
      <c r="C8" s="131"/>
      <c r="D8" s="131"/>
      <c r="E8" s="131"/>
      <c r="F8" s="131"/>
      <c r="G8" s="131"/>
      <c r="H8" s="132"/>
      <c r="I8" s="1"/>
    </row>
    <row r="9" spans="1:9" ht="15" customHeight="1" x14ac:dyDescent="0.25">
      <c r="A9" s="1"/>
      <c r="B9" s="125" t="s">
        <v>228</v>
      </c>
      <c r="C9" s="126"/>
      <c r="D9" s="126"/>
      <c r="E9" s="126"/>
      <c r="F9" s="126"/>
      <c r="G9" s="126"/>
      <c r="H9" s="127"/>
      <c r="I9" s="1"/>
    </row>
    <row r="10" spans="1:9" x14ac:dyDescent="0.25">
      <c r="A10" s="1"/>
      <c r="B10" s="154" t="s">
        <v>245</v>
      </c>
      <c r="C10" s="155"/>
      <c r="D10" s="155"/>
      <c r="E10" s="155"/>
      <c r="F10" s="156"/>
      <c r="G10" s="56">
        <v>0</v>
      </c>
      <c r="H10" s="9" t="s">
        <v>3</v>
      </c>
      <c r="I10" s="1"/>
    </row>
    <row r="11" spans="1:9" x14ac:dyDescent="0.25">
      <c r="A11" s="1"/>
      <c r="B11" s="154" t="s">
        <v>246</v>
      </c>
      <c r="C11" s="155"/>
      <c r="D11" s="155"/>
      <c r="E11" s="155"/>
      <c r="F11" s="156"/>
      <c r="G11" s="56">
        <v>0</v>
      </c>
      <c r="H11" s="9" t="s">
        <v>3</v>
      </c>
      <c r="I11" s="1"/>
    </row>
    <row r="12" spans="1:9" x14ac:dyDescent="0.25">
      <c r="A12" s="1"/>
      <c r="B12" s="154" t="s">
        <v>247</v>
      </c>
      <c r="C12" s="155"/>
      <c r="D12" s="155"/>
      <c r="E12" s="155"/>
      <c r="F12" s="156"/>
      <c r="G12" s="9">
        <v>0</v>
      </c>
      <c r="H12" s="9" t="s">
        <v>3</v>
      </c>
      <c r="I12" s="1"/>
    </row>
    <row r="13" spans="1:9" x14ac:dyDescent="0.25">
      <c r="A13" s="1"/>
      <c r="B13" s="154" t="s">
        <v>248</v>
      </c>
      <c r="C13" s="155"/>
      <c r="D13" s="155"/>
      <c r="E13" s="155"/>
      <c r="F13" s="156"/>
      <c r="G13" s="9">
        <v>0</v>
      </c>
      <c r="H13" s="9" t="s">
        <v>3</v>
      </c>
      <c r="I13" s="1"/>
    </row>
    <row r="14" spans="1:9" x14ac:dyDescent="0.25">
      <c r="A14" s="1"/>
      <c r="B14" s="154" t="s">
        <v>249</v>
      </c>
      <c r="C14" s="155"/>
      <c r="D14" s="155"/>
      <c r="E14" s="155"/>
      <c r="F14" s="156"/>
      <c r="G14" s="9">
        <v>0</v>
      </c>
      <c r="H14" s="9" t="s">
        <v>3</v>
      </c>
      <c r="I14" s="1"/>
    </row>
    <row r="15" spans="1:9" x14ac:dyDescent="0.25">
      <c r="A15" s="1"/>
      <c r="B15" s="154" t="s">
        <v>250</v>
      </c>
      <c r="C15" s="155"/>
      <c r="D15" s="155"/>
      <c r="E15" s="155"/>
      <c r="F15" s="156"/>
      <c r="G15" s="9">
        <v>0</v>
      </c>
      <c r="H15" s="9" t="s">
        <v>3</v>
      </c>
      <c r="I15" s="1"/>
    </row>
    <row r="16" spans="1:9" x14ac:dyDescent="0.25">
      <c r="A16" s="1"/>
      <c r="B16" s="154" t="s">
        <v>251</v>
      </c>
      <c r="C16" s="155"/>
      <c r="D16" s="155"/>
      <c r="E16" s="155"/>
      <c r="F16" s="156"/>
      <c r="G16" s="9">
        <v>0</v>
      </c>
      <c r="H16" s="9" t="s">
        <v>3</v>
      </c>
      <c r="I16" s="1"/>
    </row>
    <row r="17" spans="1:9" x14ac:dyDescent="0.25">
      <c r="A17" s="1"/>
      <c r="B17" s="154" t="s">
        <v>252</v>
      </c>
      <c r="C17" s="155"/>
      <c r="D17" s="155"/>
      <c r="E17" s="155"/>
      <c r="F17" s="156"/>
      <c r="G17" s="9">
        <v>0</v>
      </c>
      <c r="H17" s="9" t="s">
        <v>3</v>
      </c>
      <c r="I17" s="1"/>
    </row>
    <row r="18" spans="1:9" x14ac:dyDescent="0.25">
      <c r="A18" s="1"/>
      <c r="B18" s="130" t="s">
        <v>229</v>
      </c>
      <c r="C18" s="131"/>
      <c r="D18" s="131"/>
      <c r="E18" s="131"/>
      <c r="F18" s="13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k1kQn0F5sB4uyqALwetS5blmdSNBpK1osFmeoGggXH4Hn/mWNvfWobdu0aq1Cve1c/UkyHnO+3+RBDFdhuQumA==" saltValue="sZ4poZ9L5qm8DCg9nPjVZ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3" style="2" customWidth="1"/>
    <col min="2" max="2" width="22.7109375"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2.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220</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0" t="s">
        <v>192</v>
      </c>
      <c r="C8" s="131"/>
      <c r="D8" s="131"/>
      <c r="E8" s="131"/>
      <c r="F8" s="131"/>
      <c r="G8" s="131"/>
      <c r="H8" s="131"/>
      <c r="I8" s="131"/>
      <c r="J8" s="131"/>
      <c r="K8" s="132"/>
      <c r="L8" s="1"/>
    </row>
    <row r="9" spans="1:12" ht="39.75" customHeight="1" x14ac:dyDescent="0.25">
      <c r="A9" s="1"/>
      <c r="B9" s="18" t="s">
        <v>0</v>
      </c>
      <c r="C9" s="18" t="s">
        <v>1</v>
      </c>
      <c r="D9" s="157" t="s">
        <v>213</v>
      </c>
      <c r="E9" s="158"/>
      <c r="F9" s="157" t="s">
        <v>2</v>
      </c>
      <c r="G9" s="158"/>
      <c r="H9" s="157" t="s">
        <v>214</v>
      </c>
      <c r="I9" s="158"/>
      <c r="J9" s="157" t="s">
        <v>28</v>
      </c>
      <c r="K9" s="158"/>
      <c r="L9" s="1"/>
    </row>
    <row r="10" spans="1:12" x14ac:dyDescent="0.25">
      <c r="A10" s="1"/>
      <c r="B10" s="80" t="s">
        <v>230</v>
      </c>
      <c r="C10" s="29">
        <v>0</v>
      </c>
      <c r="D10" s="9">
        <v>0</v>
      </c>
      <c r="E10" s="14" t="s">
        <v>3</v>
      </c>
      <c r="F10" s="39">
        <f>IFERROR(D10/C10,0)</f>
        <v>0</v>
      </c>
      <c r="G10" s="14" t="s">
        <v>3</v>
      </c>
      <c r="H10" s="9">
        <v>0</v>
      </c>
      <c r="I10" s="14" t="s">
        <v>3</v>
      </c>
      <c r="J10" s="9">
        <v>0</v>
      </c>
      <c r="K10" s="14" t="s">
        <v>3</v>
      </c>
      <c r="L10" s="1"/>
    </row>
    <row r="11" spans="1:12" x14ac:dyDescent="0.25">
      <c r="A11" s="1"/>
      <c r="B11" s="66" t="s">
        <v>193</v>
      </c>
      <c r="C11" s="67"/>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sheetData>
  <sheetProtection algorithmName="SHA-512" hashValue="urt6njozAjrUaYaiyTOTkmshFc6zzaBaWzY2wPlfZ82wVszfwn6+A61bTy865KNxDW5UIKWxJD4MF5sAlATX8g==" saltValue="6Q94LpttNaj5/wAH1XfR6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221</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75</v>
      </c>
      <c r="C8" s="67"/>
      <c r="D8" s="67"/>
      <c r="E8" s="67"/>
      <c r="F8" s="19"/>
      <c r="G8" s="1"/>
    </row>
    <row r="9" spans="1:7" ht="17.25" customHeight="1" x14ac:dyDescent="0.25">
      <c r="A9" s="1"/>
      <c r="B9" s="64" t="s">
        <v>15</v>
      </c>
      <c r="C9" s="64" t="s">
        <v>10</v>
      </c>
      <c r="D9" s="65"/>
      <c r="E9" s="64" t="s">
        <v>29</v>
      </c>
      <c r="F9" s="69"/>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244</v>
      </c>
      <c r="C11" s="21">
        <v>121734</v>
      </c>
      <c r="D11" s="14" t="s">
        <v>3</v>
      </c>
      <c r="E11" s="9">
        <v>64447</v>
      </c>
      <c r="F11" s="14" t="s">
        <v>3</v>
      </c>
      <c r="G11" s="1"/>
    </row>
    <row r="12" spans="1:7" x14ac:dyDescent="0.25">
      <c r="A12" s="1"/>
      <c r="B12" s="66" t="s">
        <v>148</v>
      </c>
      <c r="C12" s="12">
        <f>SUM(C10:C11)</f>
        <v>121734</v>
      </c>
      <c r="D12" s="13" t="s">
        <v>3</v>
      </c>
      <c r="E12" s="12">
        <f>SUM(E10:E11)</f>
        <v>64447</v>
      </c>
      <c r="F12" s="13" t="s">
        <v>3</v>
      </c>
      <c r="G12" s="1"/>
    </row>
    <row r="13" spans="1:7" x14ac:dyDescent="0.25">
      <c r="A13" s="1"/>
      <c r="B13" s="66" t="s">
        <v>188</v>
      </c>
      <c r="C13" s="12">
        <f>C12*(1+'Fane 13. Nøgletal'!C15)</f>
        <v>126067.73040000001</v>
      </c>
      <c r="D13" s="13" t="s">
        <v>3</v>
      </c>
      <c r="E13" s="12">
        <f>E12*(1+'Fane 13. Nøgletal'!C15)</f>
        <v>66741.313200000004</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i4WtBC3YJVfCXQ7WA1vOBsOe7ylOVNWP6+bARcCyf/8f8Su4/v4s5EGJQ+eoOsEjJBAAZVVUBZvBAlQLwcbJQ==" saltValue="7tTglNHNZ/Olvkr2wIdg2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222</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30" t="s">
        <v>88</v>
      </c>
      <c r="C9" s="131"/>
      <c r="D9" s="131"/>
      <c r="E9" s="131"/>
      <c r="F9" s="132"/>
      <c r="G9" s="1"/>
    </row>
    <row r="10" spans="1:7" ht="26.25" x14ac:dyDescent="0.25">
      <c r="A10" s="1"/>
      <c r="B10" s="64" t="s">
        <v>15</v>
      </c>
      <c r="C10" s="64" t="s">
        <v>10</v>
      </c>
      <c r="D10" s="65"/>
      <c r="E10" s="64" t="s">
        <v>29</v>
      </c>
      <c r="F10" s="69"/>
      <c r="G10" s="1"/>
    </row>
    <row r="11" spans="1:7" x14ac:dyDescent="0.25">
      <c r="A11" s="1"/>
      <c r="B11" s="22" t="s">
        <v>255</v>
      </c>
      <c r="C11" s="21">
        <v>0</v>
      </c>
      <c r="D11" s="14" t="s">
        <v>3</v>
      </c>
      <c r="E11" s="9">
        <v>0</v>
      </c>
      <c r="F11" s="14" t="s">
        <v>3</v>
      </c>
      <c r="G11" s="1"/>
    </row>
    <row r="12" spans="1:7" x14ac:dyDescent="0.25">
      <c r="A12" s="1"/>
      <c r="B12" s="66" t="s">
        <v>195</v>
      </c>
      <c r="C12" s="12">
        <f>SUM(C11:C11)</f>
        <v>0</v>
      </c>
      <c r="D12" s="13" t="s">
        <v>3</v>
      </c>
      <c r="E12" s="12">
        <f>SUM(E11:E11)</f>
        <v>0</v>
      </c>
      <c r="F12" s="13" t="s">
        <v>3</v>
      </c>
      <c r="G12" s="1"/>
    </row>
    <row r="13" spans="1:7" x14ac:dyDescent="0.25">
      <c r="A13" s="1"/>
      <c r="B13" s="66"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NeWJ9mjrBnHTjyeoI49CvBE2baIir6jIWyCvBwcpTZgaIsH7yDBgFid/GS+6xHdX+XQlcOYNrNe32jpeTf3aBw==" saltValue="0Qj8aAJRgL+ngZomFTwzK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223</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112</v>
      </c>
      <c r="C8" s="131"/>
      <c r="D8" s="131"/>
      <c r="E8" s="131"/>
      <c r="F8" s="132"/>
      <c r="G8" s="1"/>
    </row>
    <row r="9" spans="1:7" ht="15" customHeight="1" x14ac:dyDescent="0.25">
      <c r="A9" s="1"/>
      <c r="B9" s="68" t="s">
        <v>113</v>
      </c>
      <c r="C9" s="125" t="s">
        <v>10</v>
      </c>
      <c r="D9" s="127"/>
      <c r="E9" s="125" t="s">
        <v>29</v>
      </c>
      <c r="F9" s="127"/>
      <c r="G9" s="1"/>
    </row>
    <row r="10" spans="1:7" x14ac:dyDescent="0.25">
      <c r="A10" s="1"/>
      <c r="B10" s="22" t="s">
        <v>242</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zQPyDcqEpIce7XuS+8cG3gntPGqcz0s4Z6Tm0COu7rKtDeIgc+FsPx2hyUTd4V92ZvP1GuwaP4DaJru6y/od3A==" saltValue="vAClXKKNXsXHOItT2GCZ8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224</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30" t="s">
        <v>85</v>
      </c>
      <c r="C10" s="131"/>
      <c r="D10" s="131"/>
      <c r="E10" s="131"/>
      <c r="F10" s="132"/>
      <c r="G10" s="1"/>
    </row>
    <row r="11" spans="1:7" ht="26.25" x14ac:dyDescent="0.25">
      <c r="A11" s="1"/>
      <c r="B11" s="68" t="s">
        <v>16</v>
      </c>
      <c r="C11" s="68" t="s">
        <v>10</v>
      </c>
      <c r="D11" s="69"/>
      <c r="E11" s="68" t="s">
        <v>29</v>
      </c>
      <c r="F11" s="69"/>
      <c r="G11" s="1"/>
    </row>
    <row r="12" spans="1:7" x14ac:dyDescent="0.25">
      <c r="A12" s="1"/>
      <c r="B12" s="22" t="s">
        <v>243</v>
      </c>
      <c r="C12" s="9">
        <v>0</v>
      </c>
      <c r="D12" s="14" t="s">
        <v>3</v>
      </c>
      <c r="E12" s="9">
        <v>0</v>
      </c>
      <c r="F12" s="14" t="s">
        <v>3</v>
      </c>
      <c r="G12" s="1"/>
    </row>
    <row r="13" spans="1:7" x14ac:dyDescent="0.25">
      <c r="A13" s="1"/>
      <c r="B13" s="66" t="s">
        <v>196</v>
      </c>
      <c r="C13" s="12">
        <f>SUM(C12:C12)</f>
        <v>0</v>
      </c>
      <c r="D13" s="13" t="s">
        <v>3</v>
      </c>
      <c r="E13" s="12">
        <f>SUM(E12:E12)</f>
        <v>0</v>
      </c>
      <c r="F13" s="13" t="s">
        <v>3</v>
      </c>
      <c r="G13" s="1"/>
    </row>
    <row r="14" spans="1:7" x14ac:dyDescent="0.25">
      <c r="A14" s="1"/>
      <c r="B14" s="66"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hNSMSyeG7TmCo7SEBZEXTBIWCQ2B58dorri8FgShSyMQqGlyp+lznSxRAdPFIGpQTJkw5ap7H83+eGnmprTc+w==" saltValue="BLtTBXgqkNOoQrUnKxZDW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4"/>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15" t="s">
        <v>225</v>
      </c>
      <c r="C3" s="115"/>
      <c r="D3" s="1"/>
    </row>
    <row r="4" spans="1:4" ht="25.5" customHeight="1" x14ac:dyDescent="0.25">
      <c r="A4" s="1"/>
      <c r="B4" s="115"/>
      <c r="C4" s="115"/>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6" t="s">
        <v>13</v>
      </c>
      <c r="C8" s="45"/>
      <c r="D8" s="1"/>
    </row>
    <row r="9" spans="1:4" x14ac:dyDescent="0.25">
      <c r="A9" s="1"/>
      <c r="B9" s="78" t="s">
        <v>101</v>
      </c>
      <c r="C9" s="46">
        <v>1.2699999999999999E-2</v>
      </c>
      <c r="D9" s="1"/>
    </row>
    <row r="10" spans="1:4" x14ac:dyDescent="0.25">
      <c r="A10" s="1"/>
      <c r="B10" s="78" t="s">
        <v>21</v>
      </c>
      <c r="C10" s="46">
        <v>1.7500000000000002E-2</v>
      </c>
      <c r="D10" s="1"/>
    </row>
    <row r="11" spans="1:4" x14ac:dyDescent="0.25">
      <c r="A11" s="1"/>
      <c r="B11" s="78"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30"/>
      <c r="C16" s="132"/>
      <c r="D16" s="1"/>
    </row>
    <row r="17" spans="1:4" x14ac:dyDescent="0.25">
      <c r="A17" s="1"/>
      <c r="B17" s="1"/>
      <c r="C17" s="44"/>
      <c r="D17" s="1"/>
    </row>
    <row r="18" spans="1:4" x14ac:dyDescent="0.25">
      <c r="A18" s="1"/>
      <c r="B18" s="1"/>
      <c r="C18" s="44"/>
      <c r="D18" s="1"/>
    </row>
    <row r="19" spans="1:4" x14ac:dyDescent="0.25">
      <c r="A19" s="1"/>
      <c r="B19" s="66" t="s">
        <v>89</v>
      </c>
      <c r="C19" s="45"/>
      <c r="D19" s="1"/>
    </row>
    <row r="20" spans="1:4" x14ac:dyDescent="0.25">
      <c r="A20" s="1"/>
      <c r="B20" s="78" t="s">
        <v>103</v>
      </c>
      <c r="C20" s="48">
        <v>9.1000000000000004E-3</v>
      </c>
      <c r="D20" s="1"/>
    </row>
    <row r="21" spans="1:4" x14ac:dyDescent="0.25">
      <c r="A21" s="1"/>
      <c r="B21" s="78" t="s">
        <v>104</v>
      </c>
      <c r="C21" s="48">
        <v>1.77E-2</v>
      </c>
      <c r="D21" s="1"/>
    </row>
    <row r="22" spans="1:4" x14ac:dyDescent="0.25">
      <c r="A22" s="1"/>
      <c r="B22" s="78" t="s">
        <v>105</v>
      </c>
      <c r="C22" s="48">
        <v>8.6999999999999994E-3</v>
      </c>
      <c r="D22" s="1"/>
    </row>
    <row r="23" spans="1:4" x14ac:dyDescent="0.25">
      <c r="A23" s="1"/>
      <c r="B23" s="78" t="s">
        <v>106</v>
      </c>
      <c r="C23" s="48">
        <v>2.8399999999999998E-2</v>
      </c>
      <c r="D23" s="1"/>
    </row>
    <row r="24" spans="1:4" x14ac:dyDescent="0.25">
      <c r="A24" s="1"/>
      <c r="B24" s="78" t="s">
        <v>120</v>
      </c>
      <c r="C24" s="48">
        <v>2.75E-2</v>
      </c>
      <c r="D24" s="1"/>
    </row>
    <row r="25" spans="1:4" x14ac:dyDescent="0.25">
      <c r="A25" s="1"/>
      <c r="B25" s="78" t="s">
        <v>151</v>
      </c>
      <c r="C25" s="48">
        <v>1.4800000000000001E-2</v>
      </c>
      <c r="D25" s="1"/>
    </row>
    <row r="26" spans="1:4" x14ac:dyDescent="0.25">
      <c r="A26" s="1"/>
      <c r="B26" s="24" t="s">
        <v>191</v>
      </c>
      <c r="C26" s="48">
        <v>0</v>
      </c>
      <c r="D26" s="1"/>
    </row>
    <row r="27" spans="1:4" x14ac:dyDescent="0.25">
      <c r="A27" s="1"/>
      <c r="B27" s="66"/>
      <c r="C27" s="45"/>
      <c r="D27" s="1"/>
    </row>
    <row r="28" spans="1:4" x14ac:dyDescent="0.25">
      <c r="A28" s="1"/>
      <c r="B28" s="1"/>
      <c r="C28" s="44"/>
      <c r="D28" s="1"/>
    </row>
    <row r="29" spans="1:4" x14ac:dyDescent="0.25">
      <c r="A29" s="1"/>
      <c r="B29" s="1"/>
      <c r="C29" s="44"/>
      <c r="D29" s="1"/>
    </row>
    <row r="30" spans="1:4" x14ac:dyDescent="0.25">
      <c r="A30" s="1"/>
      <c r="B30" s="66" t="s">
        <v>90</v>
      </c>
      <c r="C30" s="45"/>
      <c r="D30" s="1"/>
    </row>
    <row r="31" spans="1:4" x14ac:dyDescent="0.25">
      <c r="A31" s="1"/>
      <c r="B31" s="78" t="s">
        <v>107</v>
      </c>
      <c r="C31" s="46">
        <v>0.02</v>
      </c>
      <c r="D31" s="1"/>
    </row>
    <row r="32" spans="1:4" x14ac:dyDescent="0.25">
      <c r="A32" s="1"/>
      <c r="B32" s="66"/>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8"/>
      <c r="D50" s="55"/>
    </row>
    <row r="51" spans="1:4" x14ac:dyDescent="0.25">
      <c r="A51" s="55"/>
      <c r="B51" s="55"/>
      <c r="C51" s="88"/>
      <c r="D51" s="55"/>
    </row>
    <row r="52" spans="1:4" x14ac:dyDescent="0.25">
      <c r="A52" s="55"/>
      <c r="B52" s="55"/>
      <c r="C52" s="88"/>
      <c r="D52" s="55"/>
    </row>
    <row r="53" spans="1:4" x14ac:dyDescent="0.25">
      <c r="A53" s="55"/>
      <c r="B53" s="55"/>
      <c r="C53" s="88"/>
      <c r="D53" s="55"/>
    </row>
    <row r="54" spans="1:4" x14ac:dyDescent="0.25">
      <c r="A54" s="55"/>
      <c r="B54" s="55"/>
      <c r="C54" s="88"/>
      <c r="D54" s="55"/>
    </row>
  </sheetData>
  <sheetProtection algorithmName="SHA-512" hashValue="r3rOcWazjiw9FH7Iji5N9sspklVpCx2AYv3QamTwsYzE34sQJeokr4+UvW8SvlsjBr9aOBpbaOkBbmNbcLmSWA==" saltValue="nfK9dlC34ZwgcututdqeN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165</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66" t="s">
        <v>12</v>
      </c>
      <c r="C7" s="67"/>
      <c r="D7" s="19"/>
      <c r="E7" s="1"/>
    </row>
    <row r="8" spans="1:5" x14ac:dyDescent="0.25">
      <c r="A8" s="1"/>
      <c r="B8" s="74" t="s">
        <v>116</v>
      </c>
      <c r="C8" s="7">
        <f>'Fane 3. Omkostninger i ØR2022'!E20</f>
        <v>15596025.058580294</v>
      </c>
      <c r="D8" s="8" t="s">
        <v>3</v>
      </c>
      <c r="E8" s="1"/>
    </row>
    <row r="9" spans="1:5" ht="17.25" customHeight="1" x14ac:dyDescent="0.25">
      <c r="A9" s="1"/>
      <c r="B9" s="23" t="s">
        <v>35</v>
      </c>
      <c r="C9" s="7">
        <f>'Fane 10.1. Varige tillæg'!C13</f>
        <v>126067.73040000001</v>
      </c>
      <c r="D9" s="8" t="s">
        <v>3</v>
      </c>
      <c r="E9" s="1"/>
    </row>
    <row r="10" spans="1:5" ht="17.25" customHeight="1" x14ac:dyDescent="0.25">
      <c r="A10" s="1"/>
      <c r="B10" s="23" t="s">
        <v>36</v>
      </c>
      <c r="C10" s="9">
        <f>'Fane 10.1. Varige tillæg'!E13</f>
        <v>66741.313200000004</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562082.49403761851</v>
      </c>
      <c r="D15" s="8" t="s">
        <v>3</v>
      </c>
      <c r="E15" s="1"/>
    </row>
    <row r="16" spans="1:5" ht="17.25" customHeight="1" x14ac:dyDescent="0.25">
      <c r="A16" s="1"/>
      <c r="B16" s="23" t="s">
        <v>9</v>
      </c>
      <c r="C16" s="9">
        <f>-SUM(C8,C9:C15)*'Fane 5. Individuelt eff. krav'!G9</f>
        <v>-86140.221722068294</v>
      </c>
      <c r="D16" s="8" t="s">
        <v>3</v>
      </c>
      <c r="E16" s="1"/>
    </row>
    <row r="17" spans="1:5" ht="17.25" customHeight="1" x14ac:dyDescent="0.25">
      <c r="A17" s="1"/>
      <c r="B17" s="23" t="s">
        <v>23</v>
      </c>
      <c r="C17" s="9">
        <f>-'Fane 4.1. Gen. krav - drift'!G43</f>
        <v>-159527.02124066331</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16105249.353255183</v>
      </c>
      <c r="D19" s="11" t="s">
        <v>3</v>
      </c>
      <c r="E19" s="1"/>
    </row>
    <row r="20" spans="1:5" ht="15" customHeight="1" x14ac:dyDescent="0.25">
      <c r="A20" s="1"/>
      <c r="B20" s="66" t="s">
        <v>11</v>
      </c>
      <c r="C20" s="67"/>
      <c r="D20" s="19"/>
      <c r="E20" s="1"/>
    </row>
    <row r="21" spans="1:5" ht="15" customHeight="1" x14ac:dyDescent="0.25">
      <c r="A21" s="1"/>
      <c r="B21" s="68" t="s">
        <v>11</v>
      </c>
      <c r="C21" s="10">
        <f>'Fane 6. Ikke-påvirkelige omk.'!C17</f>
        <v>19178298.898202881</v>
      </c>
      <c r="D21" s="11" t="s">
        <v>3</v>
      </c>
      <c r="E21" s="1"/>
    </row>
    <row r="22" spans="1:5" ht="15" customHeight="1" x14ac:dyDescent="0.25">
      <c r="A22" s="1"/>
      <c r="B22" s="66" t="s">
        <v>80</v>
      </c>
      <c r="C22" s="67"/>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7"/>
      <c r="D28" s="19"/>
      <c r="E28" s="1"/>
    </row>
    <row r="29" spans="1:5" x14ac:dyDescent="0.25">
      <c r="A29" s="1"/>
      <c r="B29" s="79" t="s">
        <v>129</v>
      </c>
      <c r="C29" s="10">
        <f>'Fane 7. Kontrol af ØR2021'!E31</f>
        <v>0</v>
      </c>
      <c r="D29" s="11" t="s">
        <v>3</v>
      </c>
      <c r="E29" s="1"/>
    </row>
    <row r="30" spans="1:5" x14ac:dyDescent="0.25">
      <c r="A30" s="1"/>
      <c r="B30" s="25" t="s">
        <v>153</v>
      </c>
      <c r="C30" s="67"/>
      <c r="D30" s="19"/>
      <c r="E30" s="1"/>
    </row>
    <row r="31" spans="1:5" x14ac:dyDescent="0.25">
      <c r="A31" s="1"/>
      <c r="B31" s="79" t="s">
        <v>154</v>
      </c>
      <c r="C31" s="10">
        <f>'Fane 8. Skattesagen'!G12</f>
        <v>0</v>
      </c>
      <c r="D31" s="11" t="s">
        <v>3</v>
      </c>
      <c r="E31" s="1"/>
    </row>
    <row r="32" spans="1:5" x14ac:dyDescent="0.25">
      <c r="A32" s="1"/>
      <c r="B32" s="66" t="s">
        <v>84</v>
      </c>
      <c r="C32" s="36">
        <f>SUM(C19,C21,C27,C29,C31)</f>
        <v>35283548.251458064</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A+O3JoJbEdHp3K/BEIwzT+cwECxLcqD9iQ3yJPWTTEnvg8k9NIPR3PAnQw4GgyFnkfr8v50WpBdk4wZMZIe6A==" saltValue="0l+38Yj3Upqg538DaIx1W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166</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66" t="s">
        <v>12</v>
      </c>
      <c r="C7" s="67"/>
      <c r="D7" s="19"/>
      <c r="E7" s="1"/>
    </row>
    <row r="8" spans="1:5" ht="15" customHeight="1" x14ac:dyDescent="0.25">
      <c r="A8" s="1"/>
      <c r="B8" s="74" t="s">
        <v>117</v>
      </c>
      <c r="C8" s="7">
        <f>'Fane 2.1. Økonomisk ramme 2023'!C19</f>
        <v>16105249.353255183</v>
      </c>
      <c r="D8" s="8" t="s">
        <v>3</v>
      </c>
      <c r="E8" s="1"/>
    </row>
    <row r="9" spans="1:5" ht="15" customHeight="1" x14ac:dyDescent="0.25">
      <c r="A9" s="1"/>
      <c r="B9" s="63" t="s">
        <v>17</v>
      </c>
      <c r="C9" s="9">
        <f>SUM(C8:C8)*'Fane 13. Nøgletal'!C15</f>
        <v>573346.87697588454</v>
      </c>
      <c r="D9" s="8" t="s">
        <v>3</v>
      </c>
      <c r="E9" s="1"/>
    </row>
    <row r="10" spans="1:5" ht="15" customHeight="1" x14ac:dyDescent="0.25">
      <c r="A10" s="1"/>
      <c r="B10" s="63" t="s">
        <v>9</v>
      </c>
      <c r="C10" s="9">
        <f>-SUM(C8:C9)*'Fane 5. Individuelt eff. krav'!G9</f>
        <v>-87866.51004123372</v>
      </c>
      <c r="D10" s="8" t="s">
        <v>3</v>
      </c>
      <c r="E10" s="1"/>
    </row>
    <row r="11" spans="1:5" ht="15" customHeight="1" x14ac:dyDescent="0.25">
      <c r="A11" s="1"/>
      <c r="B11" s="63" t="s">
        <v>23</v>
      </c>
      <c r="C11" s="9">
        <f>-'Fane 4.1. Gen. krav - drift'!G48</f>
        <v>-161902.05953289432</v>
      </c>
      <c r="D11" s="8" t="s">
        <v>3</v>
      </c>
      <c r="E11" s="1"/>
    </row>
    <row r="12" spans="1:5" ht="15" customHeight="1" x14ac:dyDescent="0.25">
      <c r="A12" s="1"/>
      <c r="B12" s="63" t="s">
        <v>24</v>
      </c>
      <c r="C12" s="9">
        <f>-'Fane 4.2. Gen. krav - anlæg'!G48</f>
        <v>0</v>
      </c>
      <c r="D12" s="8" t="s">
        <v>3</v>
      </c>
      <c r="E12" s="1"/>
    </row>
    <row r="13" spans="1:5" ht="15" customHeight="1" x14ac:dyDescent="0.25">
      <c r="A13" s="1"/>
      <c r="B13" s="33" t="s">
        <v>19</v>
      </c>
      <c r="C13" s="10">
        <f>SUM(C8:C12)</f>
        <v>16428827.66065694</v>
      </c>
      <c r="D13" s="11" t="s">
        <v>3</v>
      </c>
      <c r="E13" s="1"/>
    </row>
    <row r="14" spans="1:5" x14ac:dyDescent="0.25">
      <c r="A14" s="1"/>
      <c r="B14" s="66" t="s">
        <v>11</v>
      </c>
      <c r="C14" s="67"/>
      <c r="D14" s="19"/>
      <c r="E14" s="1"/>
    </row>
    <row r="15" spans="1:5" ht="15" customHeight="1" x14ac:dyDescent="0.25">
      <c r="A15" s="1"/>
      <c r="B15" s="68" t="s">
        <v>11</v>
      </c>
      <c r="C15" s="10">
        <f>'Fane 6. Ikke-påvirkelige omk.'!C17*(1+'Fane 13. Nøgletal'!C15)</f>
        <v>19861046.338978905</v>
      </c>
      <c r="D15" s="11" t="s">
        <v>3</v>
      </c>
      <c r="E15" s="1"/>
    </row>
    <row r="16" spans="1:5" x14ac:dyDescent="0.25">
      <c r="A16" s="1"/>
      <c r="B16" s="25" t="s">
        <v>128</v>
      </c>
      <c r="C16" s="67"/>
      <c r="D16" s="19"/>
      <c r="E16" s="1"/>
    </row>
    <row r="17" spans="1:5" ht="15" customHeight="1" x14ac:dyDescent="0.25">
      <c r="A17" s="1"/>
      <c r="B17" s="79" t="s">
        <v>129</v>
      </c>
      <c r="C17" s="10">
        <f>'Fane 7. Kontrol af ØR2021'!E31</f>
        <v>0</v>
      </c>
      <c r="D17" s="11" t="s">
        <v>3</v>
      </c>
      <c r="E17" s="1"/>
    </row>
    <row r="18" spans="1:5" x14ac:dyDescent="0.25">
      <c r="A18" s="1"/>
      <c r="B18" s="25" t="s">
        <v>153</v>
      </c>
      <c r="C18" s="67"/>
      <c r="D18" s="19"/>
      <c r="E18" s="1"/>
    </row>
    <row r="19" spans="1:5" x14ac:dyDescent="0.25">
      <c r="A19" s="1"/>
      <c r="B19" s="79" t="s">
        <v>154</v>
      </c>
      <c r="C19" s="10">
        <f>'Fane 8. Skattesagen'!G13</f>
        <v>0</v>
      </c>
      <c r="D19" s="11" t="s">
        <v>3</v>
      </c>
      <c r="E19" s="1"/>
    </row>
    <row r="20" spans="1:5" x14ac:dyDescent="0.25">
      <c r="A20" s="1"/>
      <c r="B20" s="66" t="s">
        <v>138</v>
      </c>
      <c r="C20" s="12">
        <f>SUM(C13,C15,C17,C19)</f>
        <v>36289873.999635845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Ga+f+dnf/kcgXw1rvmlla55iplOMkUYyVz72cqQeqHfludaekDX3OvTo5zwJvYNXVc82ZV60zCnAVyyEH4FAUw==" saltValue="AveqKPwSe/Nb11VFkGjAO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167</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6" t="s">
        <v>12</v>
      </c>
      <c r="C7" s="67"/>
      <c r="D7" s="19"/>
      <c r="E7" s="1"/>
    </row>
    <row r="8" spans="1:5" ht="15" customHeight="1" x14ac:dyDescent="0.25">
      <c r="A8" s="1"/>
      <c r="B8" s="74" t="s">
        <v>139</v>
      </c>
      <c r="C8" s="7">
        <f>'Fane 2.2. Økonomisk ramme 2024'!C13</f>
        <v>16428827.66065694</v>
      </c>
      <c r="D8" s="8" t="s">
        <v>3</v>
      </c>
      <c r="E8" s="1"/>
    </row>
    <row r="9" spans="1:5" ht="15" customHeight="1" x14ac:dyDescent="0.25">
      <c r="A9" s="1"/>
      <c r="B9" s="63" t="s">
        <v>17</v>
      </c>
      <c r="C9" s="9">
        <f>SUM(C8:C8)*'Fane 13. Nøgletal'!C15</f>
        <v>584866.26471938705</v>
      </c>
      <c r="D9" s="8" t="s">
        <v>3</v>
      </c>
      <c r="E9" s="1"/>
    </row>
    <row r="10" spans="1:5" ht="15" customHeight="1" x14ac:dyDescent="0.25">
      <c r="A10" s="1"/>
      <c r="B10" s="63" t="s">
        <v>9</v>
      </c>
      <c r="C10" s="9">
        <f>-SUM(C8:C9)*'Fane 5. Individuelt eff. krav'!G9</f>
        <v>-89631.878336552618</v>
      </c>
      <c r="D10" s="8" t="s">
        <v>3</v>
      </c>
      <c r="E10" s="1"/>
    </row>
    <row r="11" spans="1:5" ht="15" customHeight="1" x14ac:dyDescent="0.25">
      <c r="A11" s="1"/>
      <c r="B11" s="63" t="s">
        <v>23</v>
      </c>
      <c r="C11" s="9">
        <f>-'Fane 4.1. Gen. krav - drift'!G53</f>
        <v>-164312.45739522006</v>
      </c>
      <c r="D11" s="8" t="s">
        <v>3</v>
      </c>
      <c r="E11" s="1"/>
    </row>
    <row r="12" spans="1:5" ht="15" customHeight="1" x14ac:dyDescent="0.25">
      <c r="A12" s="1"/>
      <c r="B12" s="63" t="s">
        <v>24</v>
      </c>
      <c r="C12" s="27">
        <f>-'Fane 4.2. Gen. krav - anlæg'!G53</f>
        <v>0</v>
      </c>
      <c r="D12" s="8" t="s">
        <v>3</v>
      </c>
      <c r="E12" s="1"/>
    </row>
    <row r="13" spans="1:5" x14ac:dyDescent="0.25">
      <c r="A13" s="1"/>
      <c r="B13" s="33" t="s">
        <v>19</v>
      </c>
      <c r="C13" s="10">
        <f>SUM(C8:C12)</f>
        <v>16759749.589644553</v>
      </c>
      <c r="D13" s="11" t="s">
        <v>3</v>
      </c>
      <c r="E13" s="1"/>
    </row>
    <row r="14" spans="1:5" x14ac:dyDescent="0.25">
      <c r="A14" s="1"/>
      <c r="B14" s="66" t="s">
        <v>11</v>
      </c>
      <c r="C14" s="67"/>
      <c r="D14" s="19"/>
      <c r="E14" s="1"/>
    </row>
    <row r="15" spans="1:5" ht="15" customHeight="1" x14ac:dyDescent="0.25">
      <c r="A15" s="1"/>
      <c r="B15" s="68" t="s">
        <v>11</v>
      </c>
      <c r="C15" s="10">
        <f>'Fane 6. Ikke-påvirkelige omk.'!C17*(1+'Fane 13. Nøgletal'!C15)^2</f>
        <v>20568099.588646553</v>
      </c>
      <c r="D15" s="11" t="s">
        <v>3</v>
      </c>
      <c r="E15" s="1"/>
    </row>
    <row r="16" spans="1:5" x14ac:dyDescent="0.25">
      <c r="A16" s="1"/>
      <c r="B16" s="66" t="s">
        <v>128</v>
      </c>
      <c r="C16" s="67"/>
      <c r="D16" s="19"/>
      <c r="E16" s="1"/>
    </row>
    <row r="17" spans="1:5" x14ac:dyDescent="0.25">
      <c r="A17" s="1"/>
      <c r="B17" s="68" t="s">
        <v>129</v>
      </c>
      <c r="C17" s="10">
        <v>0</v>
      </c>
      <c r="D17" s="11" t="s">
        <v>3</v>
      </c>
      <c r="E17" s="1"/>
    </row>
    <row r="18" spans="1:5" ht="15" customHeight="1" x14ac:dyDescent="0.25">
      <c r="A18" s="1"/>
      <c r="B18" s="25" t="s">
        <v>153</v>
      </c>
      <c r="C18" s="67"/>
      <c r="D18" s="19"/>
      <c r="E18" s="1"/>
    </row>
    <row r="19" spans="1:5" ht="15" customHeight="1" x14ac:dyDescent="0.25">
      <c r="A19" s="1"/>
      <c r="B19" s="79" t="s">
        <v>154</v>
      </c>
      <c r="C19" s="10">
        <f>'Fane 8. Skattesagen'!G14</f>
        <v>0</v>
      </c>
      <c r="D19" s="11" t="s">
        <v>3</v>
      </c>
      <c r="E19" s="1"/>
    </row>
    <row r="20" spans="1:5" x14ac:dyDescent="0.25">
      <c r="A20" s="1"/>
      <c r="B20" s="66" t="s">
        <v>140</v>
      </c>
      <c r="C20" s="12">
        <f>SUM(C13,C15,C17,C19)</f>
        <v>37327849.178291105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9EoXluNdacZ0BqImtawAvYT3rVrHMYSPzu2yEPeuYN0pHQtmWcAvh0kw6KN2nYAx+p6+UoDT7pPblkUEs4hcPw==" saltValue="dNhKWJnjAi+EJn2AKySKS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168</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6" t="s">
        <v>12</v>
      </c>
      <c r="C7" s="67"/>
      <c r="D7" s="19"/>
      <c r="E7" s="1"/>
    </row>
    <row r="8" spans="1:5" ht="15" customHeight="1" x14ac:dyDescent="0.25">
      <c r="A8" s="1"/>
      <c r="B8" s="74" t="s">
        <v>169</v>
      </c>
      <c r="C8" s="7">
        <f>'Fane 2.3. Økonomisk ramme 2025'!C13</f>
        <v>16759749.589644553</v>
      </c>
      <c r="D8" s="8" t="s">
        <v>3</v>
      </c>
      <c r="E8" s="1"/>
    </row>
    <row r="9" spans="1:5" ht="15" customHeight="1" x14ac:dyDescent="0.25">
      <c r="A9" s="1"/>
      <c r="B9" s="63" t="s">
        <v>17</v>
      </c>
      <c r="C9" s="9">
        <f>SUM(C8:C8)*'Fane 13. Nøgletal'!C15</f>
        <v>596647.08539134613</v>
      </c>
      <c r="D9" s="8" t="s">
        <v>3</v>
      </c>
      <c r="E9" s="1"/>
    </row>
    <row r="10" spans="1:5" ht="15" customHeight="1" x14ac:dyDescent="0.25">
      <c r="A10" s="1"/>
      <c r="B10" s="63" t="s">
        <v>9</v>
      </c>
      <c r="C10" s="9">
        <f>-SUM(C8:C9)*'Fane 5. Individuelt eff. krav'!G9</f>
        <v>-91437.311730254005</v>
      </c>
      <c r="D10" s="8" t="s">
        <v>3</v>
      </c>
      <c r="E10" s="1"/>
    </row>
    <row r="11" spans="1:5" ht="15" customHeight="1" x14ac:dyDescent="0.25">
      <c r="A11" s="1"/>
      <c r="B11" s="63" t="s">
        <v>23</v>
      </c>
      <c r="C11" s="9">
        <f>-'Fane 4.1. Gen. krav - drift'!G58</f>
        <v>-166758.7412609201</v>
      </c>
      <c r="D11" s="8" t="s">
        <v>3</v>
      </c>
      <c r="E11" s="1"/>
    </row>
    <row r="12" spans="1:5" ht="15" customHeight="1" x14ac:dyDescent="0.25">
      <c r="A12" s="1"/>
      <c r="B12" s="63" t="s">
        <v>24</v>
      </c>
      <c r="C12" s="9">
        <f>-'Fane 4.2. Gen. krav - anlæg'!G58</f>
        <v>0</v>
      </c>
      <c r="D12" s="8" t="s">
        <v>3</v>
      </c>
      <c r="E12" s="1"/>
    </row>
    <row r="13" spans="1:5" x14ac:dyDescent="0.25">
      <c r="A13" s="1"/>
      <c r="B13" s="33" t="s">
        <v>19</v>
      </c>
      <c r="C13" s="10">
        <f>SUM(C8:C12)</f>
        <v>17098200.622044723</v>
      </c>
      <c r="D13" s="11" t="s">
        <v>3</v>
      </c>
      <c r="E13" s="1"/>
    </row>
    <row r="14" spans="1:5" x14ac:dyDescent="0.25">
      <c r="A14" s="1"/>
      <c r="B14" s="66" t="s">
        <v>11</v>
      </c>
      <c r="C14" s="67"/>
      <c r="D14" s="19"/>
      <c r="E14" s="1"/>
    </row>
    <row r="15" spans="1:5" ht="15" customHeight="1" x14ac:dyDescent="0.25">
      <c r="A15" s="1"/>
      <c r="B15" s="68" t="s">
        <v>11</v>
      </c>
      <c r="C15" s="10">
        <f>'Fane 6. Ikke-påvirkelige omk.'!C17*(1+'Fane 13. Nøgletal'!C15)^3</f>
        <v>21300323.934002373</v>
      </c>
      <c r="D15" s="11" t="s">
        <v>3</v>
      </c>
      <c r="E15" s="1"/>
    </row>
    <row r="16" spans="1:5" x14ac:dyDescent="0.25">
      <c r="A16" s="1"/>
      <c r="B16" s="66" t="s">
        <v>128</v>
      </c>
      <c r="C16" s="67"/>
      <c r="D16" s="19"/>
      <c r="E16" s="1"/>
    </row>
    <row r="17" spans="1:5" x14ac:dyDescent="0.25">
      <c r="A17" s="1"/>
      <c r="B17" s="68" t="s">
        <v>129</v>
      </c>
      <c r="C17" s="10">
        <v>0</v>
      </c>
      <c r="D17" s="11" t="s">
        <v>3</v>
      </c>
      <c r="E17" s="1"/>
    </row>
    <row r="18" spans="1:5" x14ac:dyDescent="0.25">
      <c r="A18" s="1"/>
      <c r="B18" s="25" t="s">
        <v>153</v>
      </c>
      <c r="C18" s="67"/>
      <c r="D18" s="19"/>
      <c r="E18" s="1"/>
    </row>
    <row r="19" spans="1:5" x14ac:dyDescent="0.25">
      <c r="A19" s="1"/>
      <c r="B19" s="79" t="s">
        <v>154</v>
      </c>
      <c r="C19" s="10">
        <f>'Fane 8. Skattesagen'!G15</f>
        <v>0</v>
      </c>
      <c r="D19" s="11" t="s">
        <v>3</v>
      </c>
      <c r="E19" s="1"/>
    </row>
    <row r="20" spans="1:5" x14ac:dyDescent="0.25">
      <c r="A20" s="1"/>
      <c r="B20" s="66" t="s">
        <v>170</v>
      </c>
      <c r="C20" s="12">
        <f>SUM(C13,C15,C17,C19)</f>
        <v>38398524.556047097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R+QKsL4PMqpcyb/riPXizmqmAh1zIS83hEnK3FaBoP4dP0fqHCL6nM08gJK3Tr4B29IjqGm882mnnYKOEMisPA==" saltValue="loBYX2qjg3fMBB0fqgzPW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171</v>
      </c>
      <c r="C3" s="115"/>
      <c r="D3" s="115"/>
      <c r="E3" s="115"/>
      <c r="F3" s="115"/>
      <c r="G3" s="1"/>
    </row>
    <row r="4" spans="1:7" ht="29.2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2" t="s">
        <v>172</v>
      </c>
      <c r="C8" s="83"/>
      <c r="D8" s="83"/>
      <c r="E8" s="83"/>
      <c r="F8" s="19"/>
      <c r="G8" s="1"/>
    </row>
    <row r="9" spans="1:7" x14ac:dyDescent="0.25">
      <c r="A9" s="1"/>
      <c r="B9" s="116" t="s">
        <v>22</v>
      </c>
      <c r="C9" s="117"/>
      <c r="D9" s="118"/>
      <c r="E9" s="7">
        <v>15604177.93669817</v>
      </c>
      <c r="F9" s="8" t="s">
        <v>3</v>
      </c>
      <c r="G9" s="1"/>
    </row>
    <row r="10" spans="1:7" ht="15" customHeight="1" x14ac:dyDescent="0.25">
      <c r="A10" s="1"/>
      <c r="B10" s="109" t="s">
        <v>35</v>
      </c>
      <c r="C10" s="110"/>
      <c r="D10" s="111"/>
      <c r="E10" s="9">
        <v>157765.91510000001</v>
      </c>
      <c r="F10" s="8" t="s">
        <v>3</v>
      </c>
      <c r="G10" s="1"/>
    </row>
    <row r="11" spans="1:7" ht="15" customHeight="1" x14ac:dyDescent="0.25">
      <c r="A11" s="1"/>
      <c r="B11" s="109" t="s">
        <v>36</v>
      </c>
      <c r="C11" s="110"/>
      <c r="D11" s="111"/>
      <c r="E11" s="9">
        <v>106048.81000000001</v>
      </c>
      <c r="F11" s="8" t="s">
        <v>3</v>
      </c>
      <c r="G11" s="1"/>
    </row>
    <row r="12" spans="1:7" x14ac:dyDescent="0.25">
      <c r="A12" s="1"/>
      <c r="B12" s="109" t="s">
        <v>26</v>
      </c>
      <c r="C12" s="110"/>
      <c r="D12" s="111"/>
      <c r="E12" s="9">
        <v>0</v>
      </c>
      <c r="F12" s="8" t="s">
        <v>3</v>
      </c>
      <c r="G12" s="1"/>
    </row>
    <row r="13" spans="1:7" x14ac:dyDescent="0.25">
      <c r="A13" s="1"/>
      <c r="B13" s="109" t="s">
        <v>25</v>
      </c>
      <c r="C13" s="110"/>
      <c r="D13" s="111"/>
      <c r="E13" s="9">
        <v>0</v>
      </c>
      <c r="F13" s="8" t="s">
        <v>3</v>
      </c>
      <c r="G13" s="1"/>
    </row>
    <row r="14" spans="1:7" x14ac:dyDescent="0.25">
      <c r="A14" s="1"/>
      <c r="B14" s="109" t="s">
        <v>114</v>
      </c>
      <c r="C14" s="110"/>
      <c r="D14" s="111"/>
      <c r="E14" s="9">
        <v>0</v>
      </c>
      <c r="F14" s="8" t="s">
        <v>3</v>
      </c>
      <c r="G14" s="1"/>
    </row>
    <row r="15" spans="1:7" x14ac:dyDescent="0.25">
      <c r="A15" s="1"/>
      <c r="B15" s="109" t="s">
        <v>115</v>
      </c>
      <c r="C15" s="110"/>
      <c r="D15" s="111"/>
      <c r="E15" s="9">
        <v>0</v>
      </c>
      <c r="F15" s="8" t="s">
        <v>3</v>
      </c>
      <c r="G15" s="1"/>
    </row>
    <row r="16" spans="1:7" x14ac:dyDescent="0.25">
      <c r="A16" s="1"/>
      <c r="B16" s="109" t="s">
        <v>17</v>
      </c>
      <c r="C16" s="110"/>
      <c r="D16" s="111"/>
      <c r="E16" s="9">
        <v>191241.55942054771</v>
      </c>
      <c r="F16" s="8" t="s">
        <v>3</v>
      </c>
      <c r="G16" s="30"/>
    </row>
    <row r="17" spans="1:7" x14ac:dyDescent="0.25">
      <c r="A17" s="1"/>
      <c r="B17" s="109" t="s">
        <v>9</v>
      </c>
      <c r="C17" s="110"/>
      <c r="D17" s="111"/>
      <c r="E17" s="9">
        <v>-54345.101132635456</v>
      </c>
      <c r="F17" s="8" t="s">
        <v>3</v>
      </c>
      <c r="G17" s="1"/>
    </row>
    <row r="18" spans="1:7" x14ac:dyDescent="0.25">
      <c r="A18" s="1"/>
      <c r="B18" s="109" t="s">
        <v>23</v>
      </c>
      <c r="C18" s="110"/>
      <c r="D18" s="111"/>
      <c r="E18" s="9">
        <v>-154614.01298332281</v>
      </c>
      <c r="F18" s="8" t="s">
        <v>3</v>
      </c>
      <c r="G18" s="1"/>
    </row>
    <row r="19" spans="1:7" x14ac:dyDescent="0.25">
      <c r="A19" s="1"/>
      <c r="B19" s="109" t="s">
        <v>24</v>
      </c>
      <c r="C19" s="110"/>
      <c r="D19" s="111"/>
      <c r="E19" s="9">
        <v>-254250.04852246956</v>
      </c>
      <c r="F19" s="8" t="s">
        <v>3</v>
      </c>
      <c r="G19" s="1"/>
    </row>
    <row r="20" spans="1:7" x14ac:dyDescent="0.25">
      <c r="A20" s="1"/>
      <c r="B20" s="122" t="s">
        <v>19</v>
      </c>
      <c r="C20" s="123"/>
      <c r="D20" s="124"/>
      <c r="E20" s="31">
        <f>SUM(E9:E19)</f>
        <v>15596025.058580294</v>
      </c>
      <c r="F20" s="34" t="s">
        <v>3</v>
      </c>
      <c r="G20" s="1"/>
    </row>
    <row r="21" spans="1:7" x14ac:dyDescent="0.25">
      <c r="A21" s="1"/>
      <c r="B21" s="82" t="s">
        <v>11</v>
      </c>
      <c r="C21" s="83"/>
      <c r="D21" s="83"/>
      <c r="E21" s="83"/>
      <c r="F21" s="19"/>
      <c r="G21" s="1"/>
    </row>
    <row r="22" spans="1:7" x14ac:dyDescent="0.25">
      <c r="A22" s="1"/>
      <c r="B22" s="112" t="s">
        <v>11</v>
      </c>
      <c r="C22" s="113"/>
      <c r="D22" s="114"/>
      <c r="E22" s="10">
        <v>17565569.405565124</v>
      </c>
      <c r="F22" s="11" t="s">
        <v>3</v>
      </c>
      <c r="G22" s="1"/>
    </row>
    <row r="23" spans="1:7" ht="15" customHeight="1" x14ac:dyDescent="0.25">
      <c r="A23" s="1"/>
      <c r="B23" s="128" t="s">
        <v>80</v>
      </c>
      <c r="C23" s="129"/>
      <c r="D23" s="129"/>
      <c r="E23" s="83"/>
      <c r="F23" s="19"/>
      <c r="G23" s="1"/>
    </row>
    <row r="24" spans="1:7" ht="14.25" customHeight="1" x14ac:dyDescent="0.25">
      <c r="A24" s="1"/>
      <c r="B24" s="119" t="s">
        <v>76</v>
      </c>
      <c r="C24" s="120"/>
      <c r="D24" s="121"/>
      <c r="E24" s="9">
        <v>0</v>
      </c>
      <c r="F24" s="8" t="s">
        <v>3</v>
      </c>
      <c r="G24" s="1"/>
    </row>
    <row r="25" spans="1:7" ht="14.25" customHeight="1" x14ac:dyDescent="0.25">
      <c r="A25" s="1"/>
      <c r="B25" s="119" t="s">
        <v>77</v>
      </c>
      <c r="C25" s="120"/>
      <c r="D25" s="121"/>
      <c r="E25" s="9">
        <v>0</v>
      </c>
      <c r="F25" s="8" t="s">
        <v>3</v>
      </c>
      <c r="G25" s="1"/>
    </row>
    <row r="26" spans="1:7" x14ac:dyDescent="0.25">
      <c r="A26" s="1"/>
      <c r="B26" s="125" t="s">
        <v>81</v>
      </c>
      <c r="C26" s="126"/>
      <c r="D26" s="126"/>
      <c r="E26" s="10">
        <v>0</v>
      </c>
      <c r="F26" s="11" t="s">
        <v>3</v>
      </c>
      <c r="G26" s="1"/>
    </row>
    <row r="27" spans="1:7" x14ac:dyDescent="0.25">
      <c r="A27" s="1"/>
      <c r="B27" s="82" t="s">
        <v>128</v>
      </c>
      <c r="C27" s="83"/>
      <c r="D27" s="83"/>
      <c r="E27" s="83"/>
      <c r="F27" s="19"/>
      <c r="G27" s="1"/>
    </row>
    <row r="28" spans="1:7" ht="15" customHeight="1" x14ac:dyDescent="0.25">
      <c r="A28" s="1"/>
      <c r="B28" s="125" t="s">
        <v>129</v>
      </c>
      <c r="C28" s="126"/>
      <c r="D28" s="127"/>
      <c r="E28" s="10">
        <v>0</v>
      </c>
      <c r="F28" s="11" t="s">
        <v>3</v>
      </c>
      <c r="G28" s="1"/>
    </row>
    <row r="29" spans="1:7" x14ac:dyDescent="0.25">
      <c r="A29" s="1"/>
      <c r="B29" s="82" t="s">
        <v>159</v>
      </c>
      <c r="C29" s="83"/>
      <c r="D29" s="83"/>
      <c r="E29" s="83"/>
      <c r="F29" s="19"/>
      <c r="G29" s="1"/>
    </row>
    <row r="30" spans="1:7" ht="15.75" customHeight="1" x14ac:dyDescent="0.25">
      <c r="A30" s="1"/>
      <c r="B30" s="112" t="s">
        <v>160</v>
      </c>
      <c r="C30" s="113"/>
      <c r="D30" s="114"/>
      <c r="E30" s="10">
        <v>0</v>
      </c>
      <c r="F30" s="11" t="s">
        <v>3</v>
      </c>
      <c r="G30" s="1"/>
    </row>
    <row r="31" spans="1:7" ht="15.75" customHeight="1" x14ac:dyDescent="0.25">
      <c r="A31" s="1"/>
      <c r="B31" s="130" t="s">
        <v>153</v>
      </c>
      <c r="C31" s="131"/>
      <c r="D31" s="131"/>
      <c r="E31" s="131"/>
      <c r="F31" s="132"/>
      <c r="G31" s="1"/>
    </row>
    <row r="32" spans="1:7" ht="15.75" customHeight="1" x14ac:dyDescent="0.25">
      <c r="A32" s="1"/>
      <c r="B32" s="87" t="s">
        <v>154</v>
      </c>
      <c r="C32" s="10"/>
      <c r="D32" s="11"/>
      <c r="E32" s="10">
        <f>'Fane 8. Skattesagen'!G11</f>
        <v>0</v>
      </c>
      <c r="F32" s="11" t="s">
        <v>3</v>
      </c>
      <c r="G32" s="1"/>
    </row>
    <row r="33" spans="1:7" x14ac:dyDescent="0.25">
      <c r="A33" s="1"/>
      <c r="B33" s="35" t="s">
        <v>27</v>
      </c>
      <c r="C33" s="38"/>
      <c r="D33" s="38"/>
      <c r="E33" s="32">
        <f>E20+E22+E26+E28+E30+E32</f>
        <v>33161594.464145418</v>
      </c>
      <c r="F33" s="37" t="s">
        <v>3</v>
      </c>
      <c r="G33" s="1"/>
    </row>
    <row r="34" spans="1:7" ht="27.75" customHeight="1" x14ac:dyDescent="0.25">
      <c r="A34" s="1"/>
      <c r="B34" s="119" t="s">
        <v>173</v>
      </c>
      <c r="C34" s="120"/>
      <c r="D34" s="120"/>
      <c r="E34" s="120"/>
      <c r="F34" s="12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FtG2ABrCcUR0H50wVWeNg17+zYPjyz7/MA9AjVMhilKwHyCEFb0f/SmqrKX+tehPpEBgTRlJGCej9HJCMoL0jA==" saltValue="Mi5dB/5QxcGuNIBDkPuzmQ=="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4.85546875" style="2" customWidth="1"/>
    <col min="2" max="5" width="9" style="2"/>
    <col min="6" max="6" width="21.42578125" style="2" customWidth="1"/>
    <col min="7" max="7" width="13.28515625" style="43" customWidth="1"/>
    <col min="8" max="8" width="3.7109375" style="2" customWidth="1"/>
    <col min="9" max="9" width="4.85546875" style="2" customWidth="1"/>
    <col min="10" max="16384" width="9" style="2"/>
  </cols>
  <sheetData>
    <row r="1" spans="1:9" ht="15" customHeight="1" x14ac:dyDescent="0.25">
      <c r="A1" s="1"/>
      <c r="B1" s="115" t="s">
        <v>98</v>
      </c>
      <c r="C1" s="115"/>
      <c r="D1" s="115"/>
      <c r="E1" s="115"/>
      <c r="F1" s="115"/>
      <c r="G1" s="115"/>
      <c r="H1" s="115"/>
      <c r="I1" s="1"/>
    </row>
    <row r="2" spans="1:9" ht="15" customHeight="1" x14ac:dyDescent="0.25">
      <c r="A2" s="1"/>
      <c r="B2" s="115"/>
      <c r="C2" s="115"/>
      <c r="D2" s="115"/>
      <c r="E2" s="115"/>
      <c r="F2" s="115"/>
      <c r="G2" s="115"/>
      <c r="H2" s="115"/>
      <c r="I2" s="1"/>
    </row>
    <row r="3" spans="1:9" ht="15" customHeight="1" x14ac:dyDescent="0.25">
      <c r="A3" s="1"/>
      <c r="B3" s="115"/>
      <c r="C3" s="115"/>
      <c r="D3" s="115"/>
      <c r="E3" s="115"/>
      <c r="F3" s="115"/>
      <c r="G3" s="115"/>
      <c r="H3" s="115"/>
      <c r="I3" s="1"/>
    </row>
    <row r="4" spans="1:9" x14ac:dyDescent="0.25">
      <c r="A4" s="1"/>
      <c r="B4" s="130" t="s">
        <v>49</v>
      </c>
      <c r="C4" s="131"/>
      <c r="D4" s="131"/>
      <c r="E4" s="131"/>
      <c r="F4" s="131"/>
      <c r="G4" s="131"/>
      <c r="H4" s="132"/>
      <c r="I4" s="1"/>
    </row>
    <row r="5" spans="1:9" x14ac:dyDescent="0.25">
      <c r="A5" s="1"/>
      <c r="B5" s="133" t="s">
        <v>38</v>
      </c>
      <c r="C5" s="134"/>
      <c r="D5" s="134"/>
      <c r="E5" s="134"/>
      <c r="F5" s="135"/>
      <c r="G5" s="57">
        <v>7326095.8916398128</v>
      </c>
      <c r="H5" s="14" t="s">
        <v>3</v>
      </c>
      <c r="I5" s="1"/>
    </row>
    <row r="6" spans="1:9" x14ac:dyDescent="0.25">
      <c r="A6" s="1"/>
      <c r="B6" s="133" t="s">
        <v>39</v>
      </c>
      <c r="C6" s="134"/>
      <c r="D6" s="134"/>
      <c r="E6" s="134"/>
      <c r="F6" s="135"/>
      <c r="G6" s="57">
        <f>G5*'Fane 13. Nøgletal'!C31</f>
        <v>146521.91783279626</v>
      </c>
      <c r="H6" s="14" t="s">
        <v>3</v>
      </c>
      <c r="I6" s="1"/>
    </row>
    <row r="7" spans="1:9" x14ac:dyDescent="0.25">
      <c r="A7" s="1"/>
      <c r="B7" s="66"/>
      <c r="C7" s="67"/>
      <c r="D7" s="67"/>
      <c r="E7" s="67"/>
      <c r="F7" s="67"/>
      <c r="G7" s="58"/>
      <c r="H7" s="19"/>
      <c r="I7" s="1"/>
    </row>
    <row r="8" spans="1:9" x14ac:dyDescent="0.25">
      <c r="A8" s="1"/>
      <c r="B8" s="1"/>
      <c r="C8" s="1"/>
      <c r="D8" s="1"/>
      <c r="E8" s="1"/>
      <c r="F8" s="1"/>
      <c r="G8" s="59"/>
      <c r="H8" s="1"/>
      <c r="I8" s="1"/>
    </row>
    <row r="9" spans="1:9" x14ac:dyDescent="0.25">
      <c r="A9" s="1"/>
      <c r="B9" s="130" t="s">
        <v>50</v>
      </c>
      <c r="C9" s="131"/>
      <c r="D9" s="131"/>
      <c r="E9" s="131"/>
      <c r="F9" s="131"/>
      <c r="G9" s="136"/>
      <c r="H9" s="132"/>
      <c r="I9" s="1"/>
    </row>
    <row r="10" spans="1:9" x14ac:dyDescent="0.25">
      <c r="A10" s="1"/>
      <c r="B10" s="133" t="s">
        <v>40</v>
      </c>
      <c r="C10" s="134"/>
      <c r="D10" s="134"/>
      <c r="E10" s="134"/>
      <c r="F10" s="135"/>
      <c r="G10" s="57">
        <f>(G5-G6)*(1+'Fane 13. Nøgletal'!C9)</f>
        <v>7270754.5632743649</v>
      </c>
      <c r="H10" s="14" t="s">
        <v>3</v>
      </c>
      <c r="I10" s="1"/>
    </row>
    <row r="11" spans="1:9" x14ac:dyDescent="0.25">
      <c r="A11" s="1"/>
      <c r="B11" s="137" t="s">
        <v>41</v>
      </c>
      <c r="C11" s="138"/>
      <c r="D11" s="138"/>
      <c r="E11" s="138"/>
      <c r="F11" s="139"/>
      <c r="G11" s="57">
        <v>0</v>
      </c>
      <c r="H11" s="14" t="s">
        <v>3</v>
      </c>
      <c r="I11" s="1"/>
    </row>
    <row r="12" spans="1:9" x14ac:dyDescent="0.25">
      <c r="A12" s="1"/>
      <c r="B12" s="133" t="s">
        <v>42</v>
      </c>
      <c r="C12" s="134"/>
      <c r="D12" s="134"/>
      <c r="E12" s="134"/>
      <c r="F12" s="135"/>
      <c r="G12" s="57">
        <f>(G10+G11)*'Fane 13. Nøgletal'!C31</f>
        <v>145415.09126548731</v>
      </c>
      <c r="H12" s="14" t="s">
        <v>3</v>
      </c>
      <c r="I12" s="1"/>
    </row>
    <row r="13" spans="1:9" x14ac:dyDescent="0.25">
      <c r="A13" s="1"/>
      <c r="B13" s="66"/>
      <c r="C13" s="67"/>
      <c r="D13" s="67"/>
      <c r="E13" s="67"/>
      <c r="F13" s="67"/>
      <c r="G13" s="58"/>
      <c r="H13" s="19"/>
      <c r="I13" s="1"/>
    </row>
    <row r="14" spans="1:9" x14ac:dyDescent="0.25">
      <c r="A14" s="1"/>
      <c r="B14" s="1"/>
      <c r="C14" s="1"/>
      <c r="D14" s="1"/>
      <c r="E14" s="1"/>
      <c r="F14" s="1"/>
      <c r="G14" s="59"/>
      <c r="H14" s="1"/>
      <c r="I14" s="1"/>
    </row>
    <row r="15" spans="1:9" x14ac:dyDescent="0.25">
      <c r="A15" s="1"/>
      <c r="B15" s="130" t="s">
        <v>51</v>
      </c>
      <c r="C15" s="131"/>
      <c r="D15" s="131"/>
      <c r="E15" s="131"/>
      <c r="F15" s="131"/>
      <c r="G15" s="136"/>
      <c r="H15" s="132"/>
      <c r="I15" s="1"/>
    </row>
    <row r="16" spans="1:9" x14ac:dyDescent="0.25">
      <c r="A16" s="1"/>
      <c r="B16" s="133" t="s">
        <v>43</v>
      </c>
      <c r="C16" s="134"/>
      <c r="D16" s="134"/>
      <c r="E16" s="134"/>
      <c r="F16" s="135"/>
      <c r="G16" s="57">
        <f>(G10+G11-G12)*(1+'Fane 13. Nøgletal'!C11)</f>
        <v>7245757.7090858268</v>
      </c>
      <c r="H16" s="14" t="s">
        <v>3</v>
      </c>
      <c r="I16" s="1"/>
    </row>
    <row r="17" spans="1:9" x14ac:dyDescent="0.25">
      <c r="A17" s="1"/>
      <c r="B17" s="133" t="s">
        <v>108</v>
      </c>
      <c r="C17" s="134"/>
      <c r="D17" s="134"/>
      <c r="E17" s="134"/>
      <c r="F17" s="135"/>
      <c r="G17" s="57">
        <v>0</v>
      </c>
      <c r="H17" s="14" t="s">
        <v>3</v>
      </c>
      <c r="I17" s="1"/>
    </row>
    <row r="18" spans="1:9" x14ac:dyDescent="0.25">
      <c r="A18" s="1"/>
      <c r="B18" s="137" t="s">
        <v>44</v>
      </c>
      <c r="C18" s="138"/>
      <c r="D18" s="138"/>
      <c r="E18" s="138"/>
      <c r="F18" s="139"/>
      <c r="G18" s="57">
        <v>0</v>
      </c>
      <c r="H18" s="14" t="s">
        <v>3</v>
      </c>
      <c r="I18" s="1"/>
    </row>
    <row r="19" spans="1:9" x14ac:dyDescent="0.25">
      <c r="A19" s="1"/>
      <c r="B19" s="133" t="s">
        <v>45</v>
      </c>
      <c r="C19" s="134"/>
      <c r="D19" s="134"/>
      <c r="E19" s="134"/>
      <c r="F19" s="135"/>
      <c r="G19" s="57">
        <f>SUM(G16:G18)*'Fane 13. Nøgletal'!C31</f>
        <v>144915.15418171653</v>
      </c>
      <c r="H19" s="14" t="s">
        <v>3</v>
      </c>
      <c r="I19" s="1"/>
    </row>
    <row r="20" spans="1:9" x14ac:dyDescent="0.25">
      <c r="A20" s="1"/>
      <c r="B20" s="66"/>
      <c r="C20" s="67"/>
      <c r="D20" s="67"/>
      <c r="E20" s="67"/>
      <c r="F20" s="67"/>
      <c r="G20" s="58"/>
      <c r="H20" s="19"/>
      <c r="I20" s="1"/>
    </row>
    <row r="21" spans="1:9" x14ac:dyDescent="0.25">
      <c r="A21" s="1"/>
      <c r="B21" s="1"/>
      <c r="C21" s="1"/>
      <c r="D21" s="1"/>
      <c r="E21" s="1"/>
      <c r="F21" s="1"/>
      <c r="G21" s="59"/>
      <c r="H21" s="1"/>
      <c r="I21" s="1"/>
    </row>
    <row r="22" spans="1:9" x14ac:dyDescent="0.25">
      <c r="A22" s="1"/>
      <c r="B22" s="130" t="s">
        <v>52</v>
      </c>
      <c r="C22" s="131"/>
      <c r="D22" s="131"/>
      <c r="E22" s="131"/>
      <c r="F22" s="131"/>
      <c r="G22" s="136"/>
      <c r="H22" s="132"/>
      <c r="I22" s="1"/>
    </row>
    <row r="23" spans="1:9" x14ac:dyDescent="0.25">
      <c r="A23" s="1"/>
      <c r="B23" s="133" t="s">
        <v>46</v>
      </c>
      <c r="C23" s="134"/>
      <c r="D23" s="134"/>
      <c r="E23" s="134"/>
      <c r="F23" s="135"/>
      <c r="G23" s="57">
        <f>(SUM(G16:G18)-G19)*(1+'Fane 13. Nøgletal'!C11)</f>
        <v>7220846.7940819887</v>
      </c>
      <c r="H23" s="14" t="s">
        <v>3</v>
      </c>
      <c r="I23" s="1"/>
    </row>
    <row r="24" spans="1:9" x14ac:dyDescent="0.25">
      <c r="A24" s="1"/>
      <c r="B24" s="137" t="s">
        <v>47</v>
      </c>
      <c r="C24" s="138"/>
      <c r="D24" s="138"/>
      <c r="E24" s="138"/>
      <c r="F24" s="139"/>
      <c r="G24" s="57">
        <v>313338.06134532002</v>
      </c>
      <c r="H24" s="14" t="s">
        <v>3</v>
      </c>
      <c r="I24" s="1"/>
    </row>
    <row r="25" spans="1:9" x14ac:dyDescent="0.25">
      <c r="A25" s="1"/>
      <c r="B25" s="133" t="s">
        <v>48</v>
      </c>
      <c r="C25" s="134"/>
      <c r="D25" s="134"/>
      <c r="E25" s="134"/>
      <c r="F25" s="135"/>
      <c r="G25" s="57">
        <f>(G23+G24)*'Fane 13. Nøgletal'!C31</f>
        <v>150683.69710854618</v>
      </c>
      <c r="H25" s="14" t="s">
        <v>3</v>
      </c>
      <c r="I25" s="1"/>
    </row>
    <row r="26" spans="1:9" x14ac:dyDescent="0.25">
      <c r="A26" s="1"/>
      <c r="B26" s="66"/>
      <c r="C26" s="67"/>
      <c r="D26" s="67"/>
      <c r="E26" s="67"/>
      <c r="F26" s="67"/>
      <c r="G26" s="58"/>
      <c r="H26" s="19"/>
      <c r="I26" s="1"/>
    </row>
    <row r="27" spans="1:9" x14ac:dyDescent="0.25">
      <c r="A27" s="1"/>
      <c r="B27" s="1"/>
      <c r="C27" s="1"/>
      <c r="D27" s="1"/>
      <c r="E27" s="1"/>
      <c r="F27" s="1"/>
      <c r="G27" s="59"/>
      <c r="H27" s="1"/>
      <c r="I27" s="1"/>
    </row>
    <row r="28" spans="1:9" x14ac:dyDescent="0.25">
      <c r="A28" s="1"/>
      <c r="B28" s="130" t="s">
        <v>132</v>
      </c>
      <c r="C28" s="131"/>
      <c r="D28" s="131"/>
      <c r="E28" s="131"/>
      <c r="F28" s="131"/>
      <c r="G28" s="136"/>
      <c r="H28" s="132"/>
      <c r="I28" s="1"/>
    </row>
    <row r="29" spans="1:9" x14ac:dyDescent="0.25">
      <c r="A29" s="1"/>
      <c r="B29" s="133" t="s">
        <v>55</v>
      </c>
      <c r="C29" s="134"/>
      <c r="D29" s="134"/>
      <c r="E29" s="134"/>
      <c r="F29" s="135"/>
      <c r="G29" s="57">
        <f>(G23+G24-G25)*(1+'Fane 13. Nøgletal'!C13)</f>
        <v>7473579.8724502511</v>
      </c>
      <c r="H29" s="14" t="s">
        <v>3</v>
      </c>
      <c r="I29" s="1"/>
    </row>
    <row r="30" spans="1:9" x14ac:dyDescent="0.25">
      <c r="A30" s="1"/>
      <c r="B30" s="133" t="s">
        <v>121</v>
      </c>
      <c r="C30" s="134"/>
      <c r="D30" s="134"/>
      <c r="E30" s="134"/>
      <c r="F30" s="135"/>
      <c r="G30" s="57">
        <v>160240.6866736513</v>
      </c>
      <c r="H30" s="14" t="s">
        <v>3</v>
      </c>
      <c r="I30" s="1"/>
    </row>
    <row r="31" spans="1:9" x14ac:dyDescent="0.25">
      <c r="A31" s="1"/>
      <c r="B31" s="133" t="s">
        <v>126</v>
      </c>
      <c r="C31" s="134"/>
      <c r="D31" s="134"/>
      <c r="E31" s="134"/>
      <c r="F31" s="135"/>
      <c r="G31" s="57">
        <f>(G29+G30)*'Fane 13. Nøgletal'!C31</f>
        <v>152676.41118247804</v>
      </c>
      <c r="H31" s="14" t="s">
        <v>3</v>
      </c>
      <c r="I31" s="1"/>
    </row>
    <row r="32" spans="1:9" x14ac:dyDescent="0.25">
      <c r="A32" s="1"/>
      <c r="B32" s="66"/>
      <c r="C32" s="67"/>
      <c r="D32" s="67"/>
      <c r="E32" s="67"/>
      <c r="F32" s="67"/>
      <c r="G32" s="58"/>
      <c r="H32" s="19"/>
      <c r="I32" s="1"/>
    </row>
    <row r="33" spans="1:9" x14ac:dyDescent="0.25">
      <c r="A33" s="1"/>
      <c r="B33" s="1"/>
      <c r="C33" s="1"/>
      <c r="D33" s="1"/>
      <c r="E33" s="1"/>
      <c r="F33" s="1"/>
      <c r="G33" s="59"/>
      <c r="H33" s="1"/>
      <c r="I33" s="1"/>
    </row>
    <row r="34" spans="1:9" x14ac:dyDescent="0.25">
      <c r="A34" s="1"/>
      <c r="B34" s="130" t="s">
        <v>133</v>
      </c>
      <c r="C34" s="131"/>
      <c r="D34" s="131"/>
      <c r="E34" s="131"/>
      <c r="F34" s="131"/>
      <c r="G34" s="136"/>
      <c r="H34" s="132"/>
      <c r="I34" s="1"/>
    </row>
    <row r="35" spans="1:9" x14ac:dyDescent="0.25">
      <c r="A35" s="1"/>
      <c r="B35" s="133" t="s">
        <v>74</v>
      </c>
      <c r="C35" s="134"/>
      <c r="D35" s="134"/>
      <c r="E35" s="134"/>
      <c r="F35" s="135"/>
      <c r="G35" s="57">
        <f>(G29+G30-G31)*(1+'Fane 13. Nøgletal'!C13)</f>
        <v>7572414.1065463098</v>
      </c>
      <c r="H35" s="14" t="s">
        <v>3</v>
      </c>
      <c r="I35" s="1"/>
    </row>
    <row r="36" spans="1:9" x14ac:dyDescent="0.25">
      <c r="A36" s="1"/>
      <c r="B36" s="133" t="s">
        <v>152</v>
      </c>
      <c r="C36" s="134"/>
      <c r="D36" s="134"/>
      <c r="E36" s="134"/>
      <c r="F36" s="135"/>
      <c r="G36" s="57">
        <f>('Fane 3. Omkostninger i ØR2022'!E10+'Fane 3. Omkostninger i ØR2022'!E12+'Fane 3. Omkostninger i ØR2022'!E14)*(1+'Fane 13. Nøgletal'!C14)</f>
        <v>158286.54261983003</v>
      </c>
      <c r="H36" s="14" t="s">
        <v>3</v>
      </c>
      <c r="I36" s="1"/>
    </row>
    <row r="37" spans="1:9" x14ac:dyDescent="0.25">
      <c r="A37" s="1"/>
      <c r="B37" s="133" t="s">
        <v>134</v>
      </c>
      <c r="C37" s="134"/>
      <c r="D37" s="134"/>
      <c r="E37" s="134"/>
      <c r="F37" s="135"/>
      <c r="G37" s="57">
        <f>(G35+G36)*'Fane 13. Nøgletal'!C31</f>
        <v>154614.01298332281</v>
      </c>
      <c r="H37" s="14" t="s">
        <v>3</v>
      </c>
      <c r="I37" s="1"/>
    </row>
    <row r="38" spans="1:9" x14ac:dyDescent="0.25">
      <c r="A38" s="1"/>
      <c r="B38" s="66"/>
      <c r="C38" s="67"/>
      <c r="D38" s="67"/>
      <c r="E38" s="67"/>
      <c r="F38" s="67"/>
      <c r="G38" s="58"/>
      <c r="H38" s="19"/>
      <c r="I38" s="1"/>
    </row>
    <row r="39" spans="1:9" x14ac:dyDescent="0.25">
      <c r="A39" s="1"/>
      <c r="B39" s="1"/>
      <c r="C39" s="1"/>
      <c r="D39" s="1"/>
      <c r="E39" s="1"/>
      <c r="F39" s="1"/>
      <c r="G39" s="59"/>
      <c r="H39" s="1"/>
      <c r="I39" s="1"/>
    </row>
    <row r="40" spans="1:9" x14ac:dyDescent="0.25">
      <c r="A40" s="1"/>
      <c r="B40" s="130" t="s">
        <v>198</v>
      </c>
      <c r="C40" s="131"/>
      <c r="D40" s="131"/>
      <c r="E40" s="131"/>
      <c r="F40" s="131"/>
      <c r="G40" s="136"/>
      <c r="H40" s="132"/>
      <c r="I40" s="1"/>
    </row>
    <row r="41" spans="1:9" x14ac:dyDescent="0.25">
      <c r="A41" s="1"/>
      <c r="B41" s="133" t="s">
        <v>73</v>
      </c>
      <c r="C41" s="134"/>
      <c r="D41" s="134"/>
      <c r="E41" s="134"/>
      <c r="F41" s="135"/>
      <c r="G41" s="57">
        <f>(G35+G36-G37)*(1+'Fane 13. Nøgletal'!C15)</f>
        <v>7845795.3204309251</v>
      </c>
      <c r="H41" s="14" t="s">
        <v>3</v>
      </c>
      <c r="I41" s="1"/>
    </row>
    <row r="42" spans="1:9" x14ac:dyDescent="0.25">
      <c r="A42" s="1"/>
      <c r="B42" s="133" t="s">
        <v>197</v>
      </c>
      <c r="C42" s="134"/>
      <c r="D42" s="134"/>
      <c r="E42" s="134"/>
      <c r="F42" s="135"/>
      <c r="G42" s="57">
        <f>('Fane 2.1. Økonomisk ramme 2023'!C9+'Fane 2.1. Økonomisk ramme 2023'!C11+'Fane 2.1. Økonomisk ramme 2023'!C13)*(1+'Fane 13. Nøgletal'!C15)</f>
        <v>130555.74160224003</v>
      </c>
      <c r="H42" s="14" t="s">
        <v>3</v>
      </c>
      <c r="I42" s="1"/>
    </row>
    <row r="43" spans="1:9" x14ac:dyDescent="0.25">
      <c r="A43" s="1"/>
      <c r="B43" s="133" t="s">
        <v>208</v>
      </c>
      <c r="C43" s="134"/>
      <c r="D43" s="134"/>
      <c r="E43" s="134"/>
      <c r="F43" s="135"/>
      <c r="G43" s="57">
        <f>(G41+G42)*'Fane 13. Nøgletal'!C31</f>
        <v>159527.02124066331</v>
      </c>
      <c r="H43" s="14" t="s">
        <v>3</v>
      </c>
      <c r="I43" s="1"/>
    </row>
    <row r="44" spans="1:9" x14ac:dyDescent="0.25">
      <c r="A44" s="1"/>
      <c r="B44" s="66"/>
      <c r="C44" s="67"/>
      <c r="D44" s="67"/>
      <c r="E44" s="67"/>
      <c r="F44" s="67"/>
      <c r="G44" s="58"/>
      <c r="H44" s="19"/>
      <c r="I44" s="1"/>
    </row>
    <row r="45" spans="1:9" x14ac:dyDescent="0.25">
      <c r="A45" s="1"/>
      <c r="B45" s="1"/>
      <c r="C45" s="1"/>
      <c r="D45" s="1"/>
      <c r="E45" s="1"/>
      <c r="F45" s="1"/>
      <c r="G45" s="59"/>
      <c r="H45" s="1"/>
      <c r="I45" s="1"/>
    </row>
    <row r="46" spans="1:9" x14ac:dyDescent="0.25">
      <c r="A46" s="1"/>
      <c r="B46" s="130" t="s">
        <v>199</v>
      </c>
      <c r="C46" s="131"/>
      <c r="D46" s="131"/>
      <c r="E46" s="131"/>
      <c r="F46" s="131"/>
      <c r="G46" s="136"/>
      <c r="H46" s="132"/>
      <c r="I46" s="1"/>
    </row>
    <row r="47" spans="1:9" x14ac:dyDescent="0.25">
      <c r="A47" s="1"/>
      <c r="B47" s="133" t="s">
        <v>122</v>
      </c>
      <c r="C47" s="134"/>
      <c r="D47" s="134"/>
      <c r="E47" s="134"/>
      <c r="F47" s="135"/>
      <c r="G47" s="57">
        <f>(G41+G42-G43)*(1+'Fane 13. Nøgletal'!C15)</f>
        <v>8095102.9766447153</v>
      </c>
      <c r="H47" s="14" t="s">
        <v>3</v>
      </c>
      <c r="I47" s="1"/>
    </row>
    <row r="48" spans="1:9" x14ac:dyDescent="0.25">
      <c r="A48" s="1"/>
      <c r="B48" s="133" t="s">
        <v>209</v>
      </c>
      <c r="C48" s="134"/>
      <c r="D48" s="134"/>
      <c r="E48" s="134"/>
      <c r="F48" s="135"/>
      <c r="G48" s="57">
        <f>(G47)*'Fane 13. Nøgletal'!C31</f>
        <v>161902.05953289432</v>
      </c>
      <c r="H48" s="14" t="s">
        <v>3</v>
      </c>
      <c r="I48" s="1"/>
    </row>
    <row r="49" spans="1:9" x14ac:dyDescent="0.25">
      <c r="A49" s="1"/>
      <c r="B49" s="66"/>
      <c r="C49" s="67"/>
      <c r="D49" s="67"/>
      <c r="E49" s="67"/>
      <c r="F49" s="67"/>
      <c r="G49" s="58"/>
      <c r="H49" s="19"/>
      <c r="I49" s="1"/>
    </row>
    <row r="50" spans="1:9" x14ac:dyDescent="0.25">
      <c r="A50" s="1"/>
      <c r="B50" s="1"/>
      <c r="C50" s="1"/>
      <c r="D50" s="1"/>
      <c r="E50" s="1"/>
      <c r="F50" s="1"/>
      <c r="G50" s="59"/>
      <c r="H50" s="1"/>
      <c r="I50" s="1"/>
    </row>
    <row r="51" spans="1:9" x14ac:dyDescent="0.25">
      <c r="A51" s="1"/>
      <c r="B51" s="130" t="s">
        <v>145</v>
      </c>
      <c r="C51" s="131"/>
      <c r="D51" s="131"/>
      <c r="E51" s="131"/>
      <c r="F51" s="131"/>
      <c r="G51" s="136"/>
      <c r="H51" s="132"/>
      <c r="I51" s="1"/>
    </row>
    <row r="52" spans="1:9" x14ac:dyDescent="0.25">
      <c r="A52" s="1"/>
      <c r="B52" s="133" t="s">
        <v>146</v>
      </c>
      <c r="C52" s="134"/>
      <c r="D52" s="134"/>
      <c r="E52" s="134"/>
      <c r="F52" s="135"/>
      <c r="G52" s="57">
        <f>(G47-G48)*(1+'Fane 13. Nøgletal'!C15)</f>
        <v>8215622.8697610023</v>
      </c>
      <c r="H52" s="14" t="s">
        <v>3</v>
      </c>
      <c r="I52" s="1"/>
    </row>
    <row r="53" spans="1:9" x14ac:dyDescent="0.25">
      <c r="A53" s="1"/>
      <c r="B53" s="133" t="s">
        <v>147</v>
      </c>
      <c r="C53" s="134"/>
      <c r="D53" s="134"/>
      <c r="E53" s="134"/>
      <c r="F53" s="135"/>
      <c r="G53" s="57">
        <f>(G52)*'Fane 13. Nøgletal'!C31</f>
        <v>164312.45739522006</v>
      </c>
      <c r="H53" s="14" t="s">
        <v>3</v>
      </c>
      <c r="I53" s="1"/>
    </row>
    <row r="54" spans="1:9" x14ac:dyDescent="0.25">
      <c r="A54" s="1"/>
      <c r="B54" s="66"/>
      <c r="C54" s="67"/>
      <c r="D54" s="67"/>
      <c r="E54" s="67"/>
      <c r="F54" s="67"/>
      <c r="G54" s="58"/>
      <c r="H54" s="19"/>
      <c r="I54" s="1"/>
    </row>
    <row r="55" spans="1:9" x14ac:dyDescent="0.25">
      <c r="A55" s="1"/>
      <c r="B55" s="1"/>
      <c r="C55" s="1"/>
      <c r="D55" s="1"/>
      <c r="E55" s="1"/>
      <c r="F55" s="1"/>
      <c r="G55" s="59"/>
      <c r="H55" s="1"/>
      <c r="I55" s="1"/>
    </row>
    <row r="56" spans="1:9" x14ac:dyDescent="0.25">
      <c r="A56" s="1"/>
      <c r="B56" s="130" t="s">
        <v>174</v>
      </c>
      <c r="C56" s="131"/>
      <c r="D56" s="131"/>
      <c r="E56" s="131"/>
      <c r="F56" s="131"/>
      <c r="G56" s="136"/>
      <c r="H56" s="132"/>
      <c r="I56" s="1"/>
    </row>
    <row r="57" spans="1:9" x14ac:dyDescent="0.25">
      <c r="A57" s="1"/>
      <c r="B57" s="133" t="s">
        <v>175</v>
      </c>
      <c r="C57" s="134"/>
      <c r="D57" s="134"/>
      <c r="E57" s="134"/>
      <c r="F57" s="135"/>
      <c r="G57" s="57">
        <f>(G52-G53)*(1+'Fane 13. Nøgletal'!C15)</f>
        <v>8337937.0630460046</v>
      </c>
      <c r="H57" s="14" t="s">
        <v>3</v>
      </c>
      <c r="I57" s="1"/>
    </row>
    <row r="58" spans="1:9" x14ac:dyDescent="0.25">
      <c r="A58" s="1"/>
      <c r="B58" s="133" t="s">
        <v>176</v>
      </c>
      <c r="C58" s="134"/>
      <c r="D58" s="134"/>
      <c r="E58" s="134"/>
      <c r="F58" s="135"/>
      <c r="G58" s="57">
        <f>(G57)*'Fane 13. Nøgletal'!C31</f>
        <v>166758.7412609201</v>
      </c>
      <c r="H58" s="14" t="s">
        <v>3</v>
      </c>
      <c r="I58" s="1"/>
    </row>
    <row r="59" spans="1:9" x14ac:dyDescent="0.25">
      <c r="A59" s="1"/>
      <c r="B59" s="66"/>
      <c r="C59" s="67"/>
      <c r="D59" s="67"/>
      <c r="E59" s="67"/>
      <c r="F59" s="67"/>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fnnLSu/0BTghm/XsE4VgUw8hiXsvNAHhFcZsC/jkWqXgGn6ngB/3yIFlvOZj3eE4M5PIOVVDhq6sYGjsboC3rw==" saltValue="yvXEQKcWcuOH6F3K8DePOw=="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3.5703125" style="2" customWidth="1"/>
    <col min="2" max="5" width="9" style="2"/>
    <col min="6" max="6" width="25.140625" style="2" customWidth="1"/>
    <col min="7" max="7" width="10.28515625" style="2" customWidth="1"/>
    <col min="8" max="8" width="2.85546875" style="2" bestFit="1" customWidth="1"/>
    <col min="9" max="9" width="3.85546875" style="2" customWidth="1"/>
    <col min="10" max="16384" width="9" style="2"/>
  </cols>
  <sheetData>
    <row r="1" spans="1:9" x14ac:dyDescent="0.25">
      <c r="A1" s="1"/>
      <c r="B1" s="140" t="s">
        <v>99</v>
      </c>
      <c r="C1" s="141"/>
      <c r="D1" s="141"/>
      <c r="E1" s="141"/>
      <c r="F1" s="141"/>
      <c r="G1" s="141"/>
      <c r="H1" s="141"/>
      <c r="I1" s="1"/>
    </row>
    <row r="2" spans="1:9" ht="19.899999999999999" customHeight="1" x14ac:dyDescent="0.25">
      <c r="A2" s="1"/>
      <c r="B2" s="141"/>
      <c r="C2" s="141"/>
      <c r="D2" s="141"/>
      <c r="E2" s="141"/>
      <c r="F2" s="141"/>
      <c r="G2" s="141"/>
      <c r="H2" s="141"/>
      <c r="I2" s="1"/>
    </row>
    <row r="3" spans="1:9" ht="15" customHeight="1" x14ac:dyDescent="0.25">
      <c r="A3" s="1"/>
      <c r="B3" s="142"/>
      <c r="C3" s="142"/>
      <c r="D3" s="142"/>
      <c r="E3" s="142"/>
      <c r="F3" s="142"/>
      <c r="G3" s="142"/>
      <c r="H3" s="142"/>
      <c r="I3" s="1"/>
    </row>
    <row r="4" spans="1:9" x14ac:dyDescent="0.25">
      <c r="A4" s="1"/>
      <c r="B4" s="130" t="s">
        <v>53</v>
      </c>
      <c r="C4" s="131"/>
      <c r="D4" s="131"/>
      <c r="E4" s="131"/>
      <c r="F4" s="131"/>
      <c r="G4" s="131"/>
      <c r="H4" s="132"/>
      <c r="I4" s="1"/>
    </row>
    <row r="5" spans="1:9" x14ac:dyDescent="0.25">
      <c r="A5" s="1"/>
      <c r="B5" s="133" t="s">
        <v>56</v>
      </c>
      <c r="C5" s="134"/>
      <c r="D5" s="134"/>
      <c r="E5" s="134"/>
      <c r="F5" s="135"/>
      <c r="G5" s="57">
        <v>8761010.1928633749</v>
      </c>
      <c r="H5" s="14" t="s">
        <v>3</v>
      </c>
      <c r="I5" s="1"/>
    </row>
    <row r="6" spans="1:9" x14ac:dyDescent="0.25">
      <c r="A6" s="1"/>
      <c r="B6" s="133" t="s">
        <v>54</v>
      </c>
      <c r="C6" s="134"/>
      <c r="D6" s="134"/>
      <c r="E6" s="134"/>
      <c r="F6" s="135"/>
      <c r="G6" s="57">
        <f>G5*'Fane 13. Nøgletal'!C20</f>
        <v>79725.19275505672</v>
      </c>
      <c r="H6" s="14" t="s">
        <v>3</v>
      </c>
      <c r="I6" s="1"/>
    </row>
    <row r="7" spans="1:9" x14ac:dyDescent="0.25">
      <c r="A7" s="1"/>
      <c r="B7" s="66"/>
      <c r="C7" s="67"/>
      <c r="D7" s="67"/>
      <c r="E7" s="67"/>
      <c r="F7" s="67"/>
      <c r="G7" s="60"/>
      <c r="H7" s="19"/>
      <c r="I7" s="1"/>
    </row>
    <row r="8" spans="1:9" x14ac:dyDescent="0.25">
      <c r="A8" s="1"/>
      <c r="B8" s="1"/>
      <c r="C8" s="1"/>
      <c r="D8" s="1"/>
      <c r="E8" s="1"/>
      <c r="F8" s="1"/>
      <c r="G8" s="61"/>
      <c r="H8" s="1"/>
      <c r="I8" s="1"/>
    </row>
    <row r="9" spans="1:9" x14ac:dyDescent="0.25">
      <c r="A9" s="1"/>
      <c r="B9" s="130" t="s">
        <v>57</v>
      </c>
      <c r="C9" s="131"/>
      <c r="D9" s="131"/>
      <c r="E9" s="131"/>
      <c r="F9" s="131"/>
      <c r="G9" s="136"/>
      <c r="H9" s="132"/>
      <c r="I9" s="1"/>
    </row>
    <row r="10" spans="1:9" x14ac:dyDescent="0.25">
      <c r="A10" s="1"/>
      <c r="B10" s="133" t="s">
        <v>58</v>
      </c>
      <c r="C10" s="134"/>
      <c r="D10" s="134"/>
      <c r="E10" s="134"/>
      <c r="F10" s="135"/>
      <c r="G10" s="57">
        <f>(G5-G6)*(1+'Fane 13. Nøgletal'!C9)</f>
        <v>8791537.3196096942</v>
      </c>
      <c r="H10" s="14" t="s">
        <v>3</v>
      </c>
      <c r="I10" s="1"/>
    </row>
    <row r="11" spans="1:9" x14ac:dyDescent="0.25">
      <c r="A11" s="1"/>
      <c r="B11" s="137" t="s">
        <v>59</v>
      </c>
      <c r="C11" s="138"/>
      <c r="D11" s="138"/>
      <c r="E11" s="138"/>
      <c r="F11" s="139"/>
      <c r="G11" s="62">
        <v>0</v>
      </c>
      <c r="H11" s="14" t="s">
        <v>3</v>
      </c>
      <c r="I11" s="1"/>
    </row>
    <row r="12" spans="1:9" x14ac:dyDescent="0.25">
      <c r="A12" s="1"/>
      <c r="B12" s="133" t="s">
        <v>60</v>
      </c>
      <c r="C12" s="134"/>
      <c r="D12" s="134"/>
      <c r="E12" s="134"/>
      <c r="F12" s="135"/>
      <c r="G12" s="57">
        <f>G10*'Fane 13. Nøgletal'!C20+G11*'Fane 13. Nøgletal'!C21</f>
        <v>80002.989608448217</v>
      </c>
      <c r="H12" s="14" t="s">
        <v>3</v>
      </c>
      <c r="I12" s="1"/>
    </row>
    <row r="13" spans="1:9" x14ac:dyDescent="0.25">
      <c r="A13" s="1"/>
      <c r="B13" s="66"/>
      <c r="C13" s="67"/>
      <c r="D13" s="67"/>
      <c r="E13" s="67"/>
      <c r="F13" s="67"/>
      <c r="G13" s="60"/>
      <c r="H13" s="19"/>
      <c r="I13" s="1"/>
    </row>
    <row r="14" spans="1:9" x14ac:dyDescent="0.25">
      <c r="A14" s="1"/>
      <c r="B14" s="1"/>
      <c r="C14" s="1"/>
      <c r="D14" s="1"/>
      <c r="E14" s="1"/>
      <c r="F14" s="1"/>
      <c r="G14" s="61"/>
      <c r="H14" s="1"/>
      <c r="I14" s="1"/>
    </row>
    <row r="15" spans="1:9" x14ac:dyDescent="0.25">
      <c r="A15" s="1"/>
      <c r="B15" s="130" t="s">
        <v>61</v>
      </c>
      <c r="C15" s="131"/>
      <c r="D15" s="131"/>
      <c r="E15" s="131"/>
      <c r="F15" s="131"/>
      <c r="G15" s="136"/>
      <c r="H15" s="132"/>
      <c r="I15" s="1"/>
    </row>
    <row r="16" spans="1:9" x14ac:dyDescent="0.25">
      <c r="A16" s="1"/>
      <c r="B16" s="133" t="s">
        <v>62</v>
      </c>
      <c r="C16" s="134"/>
      <c r="D16" s="134"/>
      <c r="E16" s="134"/>
      <c r="F16" s="135"/>
      <c r="G16" s="57">
        <f>(G10+G11-G12)*(1+'Fane 13. Nøgletal'!C11)</f>
        <v>8858759.2601782661</v>
      </c>
      <c r="H16" s="14" t="s">
        <v>3</v>
      </c>
      <c r="I16" s="1"/>
    </row>
    <row r="17" spans="1:9" x14ac:dyDescent="0.25">
      <c r="A17" s="1"/>
      <c r="B17" s="133" t="s">
        <v>109</v>
      </c>
      <c r="C17" s="134"/>
      <c r="D17" s="134"/>
      <c r="E17" s="134"/>
      <c r="F17" s="135"/>
      <c r="G17" s="57">
        <v>29883.802290735475</v>
      </c>
      <c r="H17" s="14" t="s">
        <v>3</v>
      </c>
      <c r="I17" s="1"/>
    </row>
    <row r="18" spans="1:9" x14ac:dyDescent="0.25">
      <c r="A18" s="1"/>
      <c r="B18" s="137" t="s">
        <v>63</v>
      </c>
      <c r="C18" s="138"/>
      <c r="D18" s="138"/>
      <c r="E18" s="138"/>
      <c r="F18" s="139"/>
      <c r="G18" s="57">
        <v>145590.98120311997</v>
      </c>
      <c r="H18" s="14" t="s">
        <v>3</v>
      </c>
      <c r="I18" s="1"/>
    </row>
    <row r="19" spans="1:9" x14ac:dyDescent="0.25">
      <c r="A19" s="1"/>
      <c r="B19" s="133" t="s">
        <v>64</v>
      </c>
      <c r="C19" s="134"/>
      <c r="D19" s="134"/>
      <c r="E19" s="134"/>
      <c r="F19" s="135"/>
      <c r="G19" s="57">
        <f>(G16+G17+G18)*'Fane 13. Nøgletal'!C22</f>
        <v>78597.836179947451</v>
      </c>
      <c r="H19" s="14" t="s">
        <v>3</v>
      </c>
      <c r="I19" s="1"/>
    </row>
    <row r="20" spans="1:9" x14ac:dyDescent="0.25">
      <c r="A20" s="1"/>
      <c r="B20" s="66"/>
      <c r="C20" s="67"/>
      <c r="D20" s="67"/>
      <c r="E20" s="67"/>
      <c r="F20" s="67"/>
      <c r="G20" s="60"/>
      <c r="H20" s="19"/>
      <c r="I20" s="1"/>
    </row>
    <row r="21" spans="1:9" x14ac:dyDescent="0.25">
      <c r="A21" s="1"/>
      <c r="B21" s="1"/>
      <c r="C21" s="1"/>
      <c r="D21" s="1"/>
      <c r="E21" s="1"/>
      <c r="F21" s="1"/>
      <c r="G21" s="61"/>
      <c r="H21" s="1"/>
      <c r="I21" s="1"/>
    </row>
    <row r="22" spans="1:9" x14ac:dyDescent="0.25">
      <c r="A22" s="1"/>
      <c r="B22" s="130" t="s">
        <v>65</v>
      </c>
      <c r="C22" s="131"/>
      <c r="D22" s="131"/>
      <c r="E22" s="131"/>
      <c r="F22" s="131"/>
      <c r="G22" s="136"/>
      <c r="H22" s="132"/>
      <c r="I22" s="1"/>
    </row>
    <row r="23" spans="1:9" x14ac:dyDescent="0.25">
      <c r="A23" s="1"/>
      <c r="B23" s="133" t="s">
        <v>66</v>
      </c>
      <c r="C23" s="134"/>
      <c r="D23" s="134"/>
      <c r="E23" s="134"/>
      <c r="F23" s="135"/>
      <c r="G23" s="57">
        <f>(SUM(G16:G18)-G19)*(1+'Fane 13. Nøgletal'!C11)</f>
        <v>9106986.4593987912</v>
      </c>
      <c r="H23" s="14" t="s">
        <v>3</v>
      </c>
      <c r="I23" s="1"/>
    </row>
    <row r="24" spans="1:9" x14ac:dyDescent="0.25">
      <c r="A24" s="1"/>
      <c r="B24" s="137" t="s">
        <v>67</v>
      </c>
      <c r="C24" s="138"/>
      <c r="D24" s="138"/>
      <c r="E24" s="138"/>
      <c r="F24" s="139"/>
      <c r="G24" s="57">
        <v>58275.381010809608</v>
      </c>
      <c r="H24" s="14" t="s">
        <v>3</v>
      </c>
      <c r="I24" s="1"/>
    </row>
    <row r="25" spans="1:9" x14ac:dyDescent="0.25">
      <c r="A25" s="1"/>
      <c r="B25" s="133" t="s">
        <v>68</v>
      </c>
      <c r="C25" s="134"/>
      <c r="D25" s="134"/>
      <c r="E25" s="134"/>
      <c r="F25" s="135"/>
      <c r="G25" s="57">
        <f>G23*'Fane 13. Nøgletal'!C22+G24*'Fane 13. Nøgletal'!C23</f>
        <v>80885.803017476472</v>
      </c>
      <c r="H25" s="14" t="s">
        <v>3</v>
      </c>
      <c r="I25" s="1"/>
    </row>
    <row r="26" spans="1:9" x14ac:dyDescent="0.25">
      <c r="A26" s="1"/>
      <c r="B26" s="66"/>
      <c r="C26" s="67"/>
      <c r="D26" s="67"/>
      <c r="E26" s="67"/>
      <c r="F26" s="67"/>
      <c r="G26" s="60"/>
      <c r="H26" s="19"/>
      <c r="I26" s="1"/>
    </row>
    <row r="27" spans="1:9" x14ac:dyDescent="0.25">
      <c r="A27" s="1"/>
      <c r="B27" s="1"/>
      <c r="C27" s="1"/>
      <c r="D27" s="1"/>
      <c r="E27" s="1"/>
      <c r="F27" s="1"/>
      <c r="G27" s="61"/>
      <c r="H27" s="1"/>
      <c r="I27" s="1"/>
    </row>
    <row r="28" spans="1:9" x14ac:dyDescent="0.25">
      <c r="A28" s="1"/>
      <c r="B28" s="130" t="s">
        <v>130</v>
      </c>
      <c r="C28" s="131"/>
      <c r="D28" s="131"/>
      <c r="E28" s="131"/>
      <c r="F28" s="131"/>
      <c r="G28" s="136"/>
      <c r="H28" s="132"/>
      <c r="I28" s="1"/>
    </row>
    <row r="29" spans="1:9" x14ac:dyDescent="0.25">
      <c r="A29" s="1"/>
      <c r="B29" s="133" t="s">
        <v>69</v>
      </c>
      <c r="C29" s="134"/>
      <c r="D29" s="134"/>
      <c r="E29" s="134"/>
      <c r="F29" s="135"/>
      <c r="G29" s="57">
        <f>(G23+G24-G25)*(1+'Fane 13. Nøgletal'!C13)</f>
        <v>9195205.4250483084</v>
      </c>
      <c r="H29" s="14" t="s">
        <v>3</v>
      </c>
      <c r="I29" s="1"/>
    </row>
    <row r="30" spans="1:9" x14ac:dyDescent="0.25">
      <c r="A30" s="1"/>
      <c r="B30" s="133" t="s">
        <v>123</v>
      </c>
      <c r="C30" s="134"/>
      <c r="D30" s="134"/>
      <c r="E30" s="134"/>
      <c r="F30" s="135"/>
      <c r="G30" s="57">
        <v>138932.92089936</v>
      </c>
      <c r="H30" s="14" t="s">
        <v>3</v>
      </c>
      <c r="I30" s="1"/>
    </row>
    <row r="31" spans="1:9" x14ac:dyDescent="0.25">
      <c r="A31" s="1"/>
      <c r="B31" s="133" t="s">
        <v>131</v>
      </c>
      <c r="C31" s="134"/>
      <c r="D31" s="134"/>
      <c r="E31" s="134"/>
      <c r="F31" s="135"/>
      <c r="G31" s="57">
        <f>(G29+G30)*'Fane 13. Nøgletal'!C24</f>
        <v>256688.80451356087</v>
      </c>
      <c r="H31" s="14" t="s">
        <v>3</v>
      </c>
      <c r="I31" s="1"/>
    </row>
    <row r="32" spans="1:9" x14ac:dyDescent="0.25">
      <c r="A32" s="1"/>
      <c r="B32" s="66"/>
      <c r="C32" s="67"/>
      <c r="D32" s="67"/>
      <c r="E32" s="67"/>
      <c r="F32" s="67"/>
      <c r="G32" s="60"/>
      <c r="H32" s="19"/>
      <c r="I32" s="1"/>
    </row>
    <row r="33" spans="1:9" x14ac:dyDescent="0.25">
      <c r="A33" s="1"/>
      <c r="B33" s="1"/>
      <c r="C33" s="1"/>
      <c r="D33" s="1"/>
      <c r="E33" s="1"/>
      <c r="F33" s="1"/>
      <c r="G33" s="61"/>
      <c r="H33" s="1"/>
      <c r="I33" s="1"/>
    </row>
    <row r="34" spans="1:9" x14ac:dyDescent="0.25">
      <c r="A34" s="1"/>
      <c r="B34" s="130" t="s">
        <v>135</v>
      </c>
      <c r="C34" s="131"/>
      <c r="D34" s="131"/>
      <c r="E34" s="131"/>
      <c r="F34" s="131"/>
      <c r="G34" s="136"/>
      <c r="H34" s="132"/>
      <c r="I34" s="1"/>
    </row>
    <row r="35" spans="1:9" x14ac:dyDescent="0.25">
      <c r="A35" s="1"/>
      <c r="B35" s="133" t="s">
        <v>72</v>
      </c>
      <c r="C35" s="134"/>
      <c r="D35" s="134"/>
      <c r="E35" s="134"/>
      <c r="F35" s="135"/>
      <c r="G35" s="57">
        <f>(G29+G30-G31)*(1+'Fane 13. Nøgletal'!C13)</f>
        <v>9188194.4258396029</v>
      </c>
      <c r="H35" s="14" t="s">
        <v>3</v>
      </c>
      <c r="I35" s="1"/>
    </row>
    <row r="36" spans="1:9" x14ac:dyDescent="0.25">
      <c r="A36" s="1"/>
      <c r="B36" s="133" t="s">
        <v>141</v>
      </c>
      <c r="C36" s="134"/>
      <c r="D36" s="134"/>
      <c r="E36" s="134"/>
      <c r="F36" s="135"/>
      <c r="G36" s="57">
        <f>SUM('Fane 3. Omkostninger i ØR2022'!E11)*(1+'Fane 13. Nøgletal'!C14)</f>
        <v>106398.77107300003</v>
      </c>
      <c r="H36" s="14" t="s">
        <v>3</v>
      </c>
      <c r="I36" s="1"/>
    </row>
    <row r="37" spans="1:9" x14ac:dyDescent="0.25">
      <c r="A37" s="1"/>
      <c r="B37" s="133" t="s">
        <v>136</v>
      </c>
      <c r="C37" s="134"/>
      <c r="D37" s="134"/>
      <c r="E37" s="134"/>
      <c r="F37" s="135"/>
      <c r="G37" s="57">
        <f>G35*'Fane 13. Nøgletal'!C24+G36*'Fane 13. Nøgletal'!C25</f>
        <v>254250.04852246947</v>
      </c>
      <c r="H37" s="14" t="s">
        <v>3</v>
      </c>
      <c r="I37" s="1"/>
    </row>
    <row r="38" spans="1:9" x14ac:dyDescent="0.25">
      <c r="A38" s="1"/>
      <c r="B38" s="66"/>
      <c r="C38" s="67"/>
      <c r="D38" s="67"/>
      <c r="E38" s="67"/>
      <c r="F38" s="67"/>
      <c r="G38" s="60"/>
      <c r="H38" s="19"/>
      <c r="I38" s="1"/>
    </row>
    <row r="39" spans="1:9" x14ac:dyDescent="0.25">
      <c r="A39" s="1"/>
      <c r="B39" s="1"/>
      <c r="C39" s="1"/>
      <c r="D39" s="1"/>
      <c r="E39" s="1"/>
      <c r="F39" s="1"/>
      <c r="G39" s="61"/>
      <c r="H39" s="1"/>
      <c r="I39" s="1"/>
    </row>
    <row r="40" spans="1:9" x14ac:dyDescent="0.25">
      <c r="A40" s="1"/>
      <c r="B40" s="130" t="s">
        <v>200</v>
      </c>
      <c r="C40" s="131"/>
      <c r="D40" s="131"/>
      <c r="E40" s="131"/>
      <c r="F40" s="131"/>
      <c r="G40" s="136"/>
      <c r="H40" s="132"/>
      <c r="I40" s="1"/>
    </row>
    <row r="41" spans="1:9" x14ac:dyDescent="0.25">
      <c r="A41" s="1"/>
      <c r="B41" s="133" t="s">
        <v>71</v>
      </c>
      <c r="C41" s="134"/>
      <c r="D41" s="134"/>
      <c r="E41" s="134"/>
      <c r="F41" s="135"/>
      <c r="G41" s="57">
        <f>(G35+G36-G37)*(1+'Fane 13. Nøgletal'!C15)</f>
        <v>9362179.3644728251</v>
      </c>
      <c r="H41" s="14" t="s">
        <v>3</v>
      </c>
      <c r="I41" s="1"/>
    </row>
    <row r="42" spans="1:9" x14ac:dyDescent="0.25">
      <c r="A42" s="1"/>
      <c r="B42" s="133" t="s">
        <v>211</v>
      </c>
      <c r="C42" s="134"/>
      <c r="D42" s="134"/>
      <c r="E42" s="134"/>
      <c r="F42" s="135"/>
      <c r="G42" s="62">
        <f>SUM('Fane 2.1. Økonomisk ramme 2023'!C10+'Fane 2.1. Økonomisk ramme 2023'!C12+'Fane 2.1. Økonomisk ramme 2023'!C14)*(1+'Fane 13. Nøgletal'!C15)</f>
        <v>69117.303949920009</v>
      </c>
      <c r="H42" s="14" t="s">
        <v>3</v>
      </c>
      <c r="I42" s="1"/>
    </row>
    <row r="43" spans="1:9" x14ac:dyDescent="0.25">
      <c r="A43" s="1"/>
      <c r="B43" s="133" t="s">
        <v>70</v>
      </c>
      <c r="C43" s="134"/>
      <c r="D43" s="134"/>
      <c r="E43" s="134"/>
      <c r="F43" s="135"/>
      <c r="G43" s="57">
        <f>(G41+G42)*'Fane 13. Nøgletal'!C26</f>
        <v>0</v>
      </c>
      <c r="H43" s="14" t="s">
        <v>3</v>
      </c>
      <c r="I43" s="1"/>
    </row>
    <row r="44" spans="1:9" x14ac:dyDescent="0.25">
      <c r="A44" s="1"/>
      <c r="B44" s="66"/>
      <c r="C44" s="67"/>
      <c r="D44" s="67"/>
      <c r="E44" s="67"/>
      <c r="F44" s="67"/>
      <c r="G44" s="60"/>
      <c r="H44" s="19"/>
      <c r="I44" s="1"/>
    </row>
    <row r="45" spans="1:9" ht="12" customHeight="1" x14ac:dyDescent="0.25">
      <c r="A45" s="1"/>
      <c r="B45" s="1"/>
      <c r="C45" s="1"/>
      <c r="D45" s="1"/>
      <c r="E45" s="1"/>
      <c r="F45" s="1"/>
      <c r="G45" s="61"/>
      <c r="H45" s="1"/>
      <c r="I45" s="1"/>
    </row>
    <row r="46" spans="1:9" x14ac:dyDescent="0.25">
      <c r="A46" s="1"/>
      <c r="B46" s="130" t="s">
        <v>201</v>
      </c>
      <c r="C46" s="131"/>
      <c r="D46" s="131"/>
      <c r="E46" s="131"/>
      <c r="F46" s="131"/>
      <c r="G46" s="136"/>
      <c r="H46" s="132"/>
      <c r="I46" s="1"/>
    </row>
    <row r="47" spans="1:9" x14ac:dyDescent="0.25">
      <c r="A47" s="1"/>
      <c r="B47" s="133" t="s">
        <v>124</v>
      </c>
      <c r="C47" s="134"/>
      <c r="D47" s="134"/>
      <c r="E47" s="134"/>
      <c r="F47" s="135"/>
      <c r="G47" s="57">
        <f>(G41+G42-G43)*(1+'Fane 13. Nøgletal'!C15)</f>
        <v>9767050.8298185952</v>
      </c>
      <c r="H47" s="14" t="s">
        <v>3</v>
      </c>
      <c r="I47" s="1"/>
    </row>
    <row r="48" spans="1:9" x14ac:dyDescent="0.25">
      <c r="A48" s="1"/>
      <c r="B48" s="133" t="s">
        <v>125</v>
      </c>
      <c r="C48" s="134"/>
      <c r="D48" s="134"/>
      <c r="E48" s="134"/>
      <c r="F48" s="135"/>
      <c r="G48" s="57">
        <f>(G47)*'Fane 13. Nøgletal'!C26</f>
        <v>0</v>
      </c>
      <c r="H48" s="14" t="s">
        <v>3</v>
      </c>
      <c r="I48" s="1"/>
    </row>
    <row r="49" spans="1:9" x14ac:dyDescent="0.25">
      <c r="A49" s="1"/>
      <c r="B49" s="66"/>
      <c r="C49" s="67"/>
      <c r="D49" s="67"/>
      <c r="E49" s="67"/>
      <c r="F49" s="67"/>
      <c r="G49" s="60"/>
      <c r="H49" s="19"/>
      <c r="I49" s="1"/>
    </row>
    <row r="50" spans="1:9" x14ac:dyDescent="0.25">
      <c r="A50" s="1"/>
      <c r="B50" s="1"/>
      <c r="C50" s="1"/>
      <c r="D50" s="1"/>
      <c r="E50" s="1"/>
      <c r="F50" s="1"/>
      <c r="G50" s="61"/>
      <c r="H50" s="1"/>
      <c r="I50" s="1"/>
    </row>
    <row r="51" spans="1:9" x14ac:dyDescent="0.25">
      <c r="A51" s="1"/>
      <c r="B51" s="130" t="s">
        <v>142</v>
      </c>
      <c r="C51" s="131"/>
      <c r="D51" s="131"/>
      <c r="E51" s="131"/>
      <c r="F51" s="131"/>
      <c r="G51" s="136"/>
      <c r="H51" s="132"/>
      <c r="I51" s="1"/>
    </row>
    <row r="52" spans="1:9" x14ac:dyDescent="0.25">
      <c r="A52" s="1"/>
      <c r="B52" s="133" t="s">
        <v>143</v>
      </c>
      <c r="C52" s="134"/>
      <c r="D52" s="134"/>
      <c r="E52" s="134"/>
      <c r="F52" s="135"/>
      <c r="G52" s="57">
        <f>(G47-G48)*(1+'Fane 13. Nøgletal'!C15)</f>
        <v>10114757.839360138</v>
      </c>
      <c r="H52" s="14" t="s">
        <v>3</v>
      </c>
      <c r="I52" s="1"/>
    </row>
    <row r="53" spans="1:9" x14ac:dyDescent="0.25">
      <c r="A53" s="1"/>
      <c r="B53" s="133" t="s">
        <v>144</v>
      </c>
      <c r="C53" s="134"/>
      <c r="D53" s="134"/>
      <c r="E53" s="134"/>
      <c r="F53" s="135"/>
      <c r="G53" s="57">
        <f>(G52)*'Fane 13. Nøgletal'!C26</f>
        <v>0</v>
      </c>
      <c r="H53" s="14" t="s">
        <v>3</v>
      </c>
      <c r="I53" s="1"/>
    </row>
    <row r="54" spans="1:9" x14ac:dyDescent="0.25">
      <c r="A54" s="1"/>
      <c r="B54" s="66"/>
      <c r="C54" s="67"/>
      <c r="D54" s="67"/>
      <c r="E54" s="67"/>
      <c r="F54" s="67"/>
      <c r="G54" s="60"/>
      <c r="H54" s="19"/>
      <c r="I54" s="1"/>
    </row>
    <row r="55" spans="1:9" x14ac:dyDescent="0.25">
      <c r="A55" s="1"/>
      <c r="B55" s="1"/>
      <c r="C55" s="1"/>
      <c r="D55" s="1"/>
      <c r="E55" s="1"/>
      <c r="F55" s="1"/>
      <c r="G55" s="61"/>
      <c r="H55" s="1"/>
      <c r="I55" s="1"/>
    </row>
    <row r="56" spans="1:9" x14ac:dyDescent="0.25">
      <c r="A56" s="1"/>
      <c r="B56" s="130" t="s">
        <v>177</v>
      </c>
      <c r="C56" s="131"/>
      <c r="D56" s="131"/>
      <c r="E56" s="131"/>
      <c r="F56" s="131"/>
      <c r="G56" s="136"/>
      <c r="H56" s="132"/>
      <c r="I56" s="1"/>
    </row>
    <row r="57" spans="1:9" x14ac:dyDescent="0.25">
      <c r="A57" s="1"/>
      <c r="B57" s="133" t="s">
        <v>178</v>
      </c>
      <c r="C57" s="134"/>
      <c r="D57" s="134"/>
      <c r="E57" s="134"/>
      <c r="F57" s="135"/>
      <c r="G57" s="57">
        <f>(G52-G53)*(1+'Fane 13. Nøgletal'!C15)</f>
        <v>10474843.21844136</v>
      </c>
      <c r="H57" s="14" t="s">
        <v>3</v>
      </c>
      <c r="I57" s="1"/>
    </row>
    <row r="58" spans="1:9" x14ac:dyDescent="0.25">
      <c r="A58" s="1"/>
      <c r="B58" s="133" t="s">
        <v>179</v>
      </c>
      <c r="C58" s="134"/>
      <c r="D58" s="134"/>
      <c r="E58" s="134"/>
      <c r="F58" s="135"/>
      <c r="G58" s="57">
        <f>(G57)*'Fane 13. Nøgletal'!C26</f>
        <v>0</v>
      </c>
      <c r="H58" s="14" t="s">
        <v>3</v>
      </c>
      <c r="I58" s="1"/>
    </row>
    <row r="59" spans="1:9" x14ac:dyDescent="0.25">
      <c r="A59" s="1"/>
      <c r="B59" s="66"/>
      <c r="C59" s="67"/>
      <c r="D59" s="67"/>
      <c r="E59" s="67"/>
      <c r="F59" s="67"/>
      <c r="G59" s="67"/>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a4Yw9RwA0LE2Vtu8bMig0dPuAPs67kw/RZ4yq8nfS/999aYo+w2lDug7CFqH7eV7JATDsbnJ17polKZvQ7vngg==" saltValue="DIY5i/UHXwwqyNgln+PcTQ=="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82</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0" t="s">
        <v>9</v>
      </c>
      <c r="C8" s="131"/>
      <c r="D8" s="131"/>
      <c r="E8" s="131"/>
      <c r="F8" s="131"/>
      <c r="G8" s="132"/>
      <c r="H8" s="1"/>
    </row>
    <row r="9" spans="1:8" x14ac:dyDescent="0.25">
      <c r="A9" s="1"/>
      <c r="B9" s="84" t="s">
        <v>180</v>
      </c>
      <c r="C9" s="85"/>
      <c r="D9" s="85"/>
      <c r="E9" s="85"/>
      <c r="F9" s="86"/>
      <c r="G9" s="28">
        <v>5.2682197487321997E-3</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3" t="s">
        <v>202</v>
      </c>
      <c r="C12" s="143"/>
      <c r="D12" s="143"/>
      <c r="E12" s="143"/>
      <c r="F12" s="143"/>
      <c r="G12" s="143"/>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PSzJwl5/6vJKvWodbADDH+qa6qm8cy2dl+phin9NG9nlDXy7SHe+GpPSKQrxslO/tNHvYCcLM6Teg3Qz4tVLQA==" saltValue="X2a+6j+7A0UuI8UMZoGG0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2022-12-01T09:32:46Z</dcterms:modified>
</cp:coreProperties>
</file>