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Ærø Vand AS (S10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5" l="1"/>
  <c r="E22" i="4"/>
  <c r="E30" i="8"/>
  <c r="E27" i="2" s="1"/>
  <c r="E31" i="8"/>
  <c r="E26" i="3" s="1"/>
  <c r="E10" i="2" l="1"/>
  <c r="E15" i="13" l="1"/>
  <c r="E16" i="13" s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1" i="11" s="1"/>
  <c r="C12" i="11" s="1"/>
  <c r="G11" i="10"/>
  <c r="E11" i="15" l="1"/>
  <c r="E12" i="15" s="1"/>
  <c r="C11" i="15"/>
  <c r="C12" i="15" s="1"/>
  <c r="E11" i="14"/>
  <c r="E12" i="14" s="1"/>
  <c r="C11" i="14"/>
  <c r="C12" i="14" s="1"/>
  <c r="C13" i="7"/>
  <c r="C14" i="7" s="1"/>
  <c r="E12" i="2" l="1"/>
  <c r="E13" i="2"/>
  <c r="E14" i="5"/>
  <c r="E18" i="2"/>
  <c r="E17" i="3"/>
  <c r="E14" i="4"/>
  <c r="E11" i="10" l="1"/>
  <c r="E10" i="11" s="1"/>
  <c r="E11" i="11" s="1"/>
  <c r="E12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<sst xmlns="http://schemas.openxmlformats.org/spreadsheetml/2006/main" count="522" uniqueCount="186">
  <si>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</si>
  <si>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</si>
  <si>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</si>
  <si>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</si>
  <si>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</si>
  <si>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</si>
  <si>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</si>
  <si>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</si>
  <si>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</si>
  <si>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</si>
  <si>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</si>
  <si>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</si>
  <si>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</si>
  <si>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</si>
  <si>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</si>
  <si>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</si>
  <si>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</si>
  <si>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</si>
  <si>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</si>
  <si>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</si>
  <si>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</si>
  <si>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</si>
  <si>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</si>
  <si>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</si>
  <si>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</si>
  <si>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</si>
  <si>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</si>
  <si>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</si>
  <si>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</si>
  <si>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</si>
  <si>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</si>
  <si>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</si>
  <si>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</si>
  <si>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</si>
  <si>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</si>
  <si>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</si>
  <si>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</si>
  <si>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</si>
  <si>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</si>
  <si>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</si>
  <si>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</si>
  <si>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</si>
  <si>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</si>
  <si>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</si>
  <si>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</si>
  <si>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</si>
  <si>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</si>
  <si>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</si>
  <si>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</si>
  <si>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</si>
  <si>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</si>
  <si>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</si>
  <si>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</si>
  <si>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</si>
  <si>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</si>
  <si>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</si>
  <si>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</si>
  <si>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</si>
  <si>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</si>
  <si>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</si>
  <si>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</si>
  <si>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</si>
  <si>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</si>
  <si>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</si>
  <si>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</si>
  <si>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</si>
  <si>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</si>
  <si>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</si>
  <si>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</si>
  <si>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</si>
  <si>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</si>
  <si>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</si>
  <si>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</si>
  <si>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</si>
  <si>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</si>
  <si>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</si>
  <si>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</si>
  <si>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</si>
  <si>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</si>
  <si>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</si>
  <si>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</si>
  <si>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</si>
  <si>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</si>
  <si>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</si>
  <si>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</si>
  <si>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</si>
  <si>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</si>
  <si>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</si>
  <si>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</si>
  <si>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</si>
  <si>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</si>
  <si>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</si>
  <si>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</si>
  <si>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</si>
  <si>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</si>
  <si>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</si>
  <si>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</si>
  <si>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</si>
  <si>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</si>
  <si>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</si>
  <si>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</si>
  <si>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</si>
  <si>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</si>
  <si>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</si>
  <si>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</si>
  <si>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</si>
  <si>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</si>
  <si>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</si>
  <si>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</si>
  <si>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</si>
  <si>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</si>
  <si>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</si>
  <si>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</si>
  <si>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</si>
  <si>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</si>
  <si>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</si>
  <si>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</si>
  <si>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</si>
  <si>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</si>
  <si>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</si>
  <si>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</si>
  <si>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</si>
  <si>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</si>
  <si>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</si>
  <si>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</si>
  <si>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</si>
  <si>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</si>
  <si>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</si>
  <si>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</si>
  <si>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</si>
  <si>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</si>
  <si>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</si>
  <si>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</si>
  <si>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</si>
  <si>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</si>
  <si>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</si>
  <si>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</si>
  <si>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</si>
  <si>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</si>
  <si>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</si>
  <si>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</si>
  <si>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</si>
  <si>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</si>
  <si>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</si>
  <si>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</si>
  <si>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</si>
  <si>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</si>
  <si>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</si>
  <si>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</si>
  <si>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</si>
  <si>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</si>
  <si>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</si>
  <si>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</si>
  <si>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</si>
  <si>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</si>
  <si>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</si>
  <si>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</si>
  <si>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</si>
  <si>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</si>
  <si>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</si>
  <si>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</si>
  <si>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</si>
  <si>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</si>
  <si>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</si>
  <si>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Spildevandsafgift</t>
  </si>
  <si>
    <t>Afgift til Forsyningssekretariatet</t>
  </si>
  <si>
    <t>Ejendomsskat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</si>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</sst>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4" t="s">
        <v>148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106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16</v>
      </c>
      <c r="D14" s="69" t="s">
        <v>107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33</v>
      </c>
      <c r="D15" s="69" t="s">
        <v>149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34</v>
      </c>
      <c r="D16" s="69" t="s">
        <v>110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108</v>
      </c>
      <c r="D17" s="69" t="s">
        <v>111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7</v>
      </c>
      <c r="D18" s="66" t="s">
        <v>12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8</v>
      </c>
      <c r="D19" s="60" t="s">
        <v>112</v>
      </c>
      <c r="E19" s="61"/>
      <c r="F19" s="61"/>
      <c r="G19" s="62"/>
      <c r="H19" s="1"/>
      <c r="I19" s="1"/>
    </row>
    <row r="20" spans="1:9" x14ac:dyDescent="0.25">
      <c r="A20" s="1"/>
      <c r="B20" s="1"/>
      <c r="C20" s="6" t="s">
        <v>70</v>
      </c>
      <c r="D20" s="60" t="s">
        <v>113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41</v>
      </c>
      <c r="D21" s="60" t="s">
        <v>35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71</v>
      </c>
      <c r="D22" s="60" t="s">
        <v>42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72</v>
      </c>
      <c r="D23" s="60" t="s">
        <v>43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44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55</v>
      </c>
      <c r="D25" s="60" t="s">
        <v>81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73</v>
      </c>
      <c r="D26" s="60" t="s">
        <v>36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15</v>
      </c>
      <c r="D27" s="63" t="s">
        <v>74</v>
      </c>
      <c r="E27" s="64"/>
      <c r="F27" s="64"/>
      <c r="G27" s="6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26lY7F8nQstNUSxQAfsQmgMai350//oBsfh8u88dtlOQh8Wki4DPbR5ocxn+/5WErjqArEkijLMMRpefrSi+g==" saltValue="41obFkmA+M++0S6s3CePug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101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7"/>
      <c r="I9" s="1"/>
    </row>
    <row r="10" spans="1:9" x14ac:dyDescent="0.25">
      <c r="A10" s="1"/>
      <c r="B10" s="55" t="s">
        <v>184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1" t="s">
        <v>102</v>
      </c>
      <c r="C11" s="92"/>
      <c r="D11" s="9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ETH91ei9L3RmV89K+i6q92sIGNOCxWbTXgxno9S8nU3FPlkbTjLAcgFPdx5WruutsWTtJ2QlCw0Hy9w/qLvBw==" saltValue="SnIP5+HgH2fUknTZ1PDyew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66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38</v>
      </c>
      <c r="C8" s="22"/>
      <c r="D8" s="22"/>
      <c r="E8" s="22"/>
      <c r="F8" s="59"/>
      <c r="G8" s="1"/>
    </row>
    <row r="9" spans="1:7" ht="17.25" customHeight="1" x14ac:dyDescent="0.25">
      <c r="A9" s="1"/>
      <c r="B9" s="39" t="s">
        <v>17</v>
      </c>
      <c r="C9" s="39" t="s">
        <v>11</v>
      </c>
      <c r="D9" s="40"/>
      <c r="E9" s="39" t="s">
        <v>29</v>
      </c>
      <c r="F9" s="57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58" t="s">
        <v>85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136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OUGws4wwOMWv7i8yJbdNYM9S1Pfvi+dV9DIhiM/yoGm5MYcS1TdFVvS9tu0W5OCAzbXdkluTt5jTp18KMsWDQ==" saltValue="NFlmvYKnlbw4b/dKLiibnw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57</v>
      </c>
      <c r="C8" s="92"/>
      <c r="D8" s="92"/>
      <c r="E8" s="92"/>
      <c r="F8" s="93"/>
      <c r="G8" s="1"/>
    </row>
    <row r="9" spans="1:7" x14ac:dyDescent="0.25">
      <c r="A9" s="1"/>
      <c r="B9" s="39" t="s">
        <v>17</v>
      </c>
      <c r="C9" s="39" t="s">
        <v>11</v>
      </c>
      <c r="D9" s="40"/>
      <c r="E9" s="39" t="s">
        <v>29</v>
      </c>
      <c r="F9" s="57"/>
      <c r="G9" s="1"/>
    </row>
    <row r="10" spans="1:7" x14ac:dyDescent="0.25">
      <c r="A10" s="1"/>
      <c r="B10" s="20" t="s">
        <v>167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8" t="s">
        <v>137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8" t="s">
        <v>96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1" t="s">
        <v>58</v>
      </c>
      <c r="C15" s="92"/>
      <c r="D15" s="92"/>
      <c r="E15" s="92"/>
      <c r="F15" s="93"/>
      <c r="G15" s="1"/>
    </row>
    <row r="16" spans="1:7" x14ac:dyDescent="0.25">
      <c r="A16" s="1"/>
      <c r="B16" s="39" t="s">
        <v>17</v>
      </c>
      <c r="C16" s="39" t="s">
        <v>11</v>
      </c>
      <c r="D16" s="40"/>
      <c r="E16" s="39" t="s">
        <v>29</v>
      </c>
      <c r="F16" s="57"/>
      <c r="G16" s="1"/>
    </row>
    <row r="17" spans="1:7" x14ac:dyDescent="0.25">
      <c r="A17" s="1"/>
      <c r="B17" s="20" t="s">
        <v>167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8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8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1" t="s">
        <v>98</v>
      </c>
      <c r="C22" s="92"/>
      <c r="D22" s="92"/>
      <c r="E22" s="92"/>
      <c r="F22" s="93"/>
      <c r="G22" s="1"/>
    </row>
    <row r="23" spans="1:7" x14ac:dyDescent="0.25">
      <c r="A23" s="1"/>
      <c r="B23" s="39" t="s">
        <v>17</v>
      </c>
      <c r="C23" s="39" t="s">
        <v>11</v>
      </c>
      <c r="D23" s="40"/>
      <c r="E23" s="39" t="s">
        <v>29</v>
      </c>
      <c r="F23" s="57"/>
      <c r="G23" s="1"/>
    </row>
    <row r="24" spans="1:7" x14ac:dyDescent="0.25">
      <c r="A24" s="1"/>
      <c r="B24" s="20" t="s">
        <v>167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8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8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1" t="s">
        <v>138</v>
      </c>
      <c r="C29" s="92"/>
      <c r="D29" s="92"/>
      <c r="E29" s="92"/>
      <c r="F29" s="93"/>
      <c r="G29" s="1"/>
    </row>
    <row r="30" spans="1:7" x14ac:dyDescent="0.25">
      <c r="A30" s="1"/>
      <c r="B30" s="39" t="s">
        <v>17</v>
      </c>
      <c r="C30" s="39" t="s">
        <v>11</v>
      </c>
      <c r="D30" s="40"/>
      <c r="E30" s="39" t="s">
        <v>29</v>
      </c>
      <c r="F30" s="57"/>
      <c r="G30" s="1"/>
    </row>
    <row r="31" spans="1:7" x14ac:dyDescent="0.25">
      <c r="A31" s="1"/>
      <c r="B31" s="20" t="s">
        <v>167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8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8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i2LPSzOonD2PsWpEr7tUALIvJb/PydCzAJKnfaIz1EVqlBJz1mgIQlVpbF5mlz1Ha/X6Qt5bgqAYULvBfWiqQ==" saltValue="47vMmLW1AnSbBS2fVCuH/g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77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78"/>
      <c r="C5" s="78"/>
      <c r="D5" s="78"/>
      <c r="E5" s="78"/>
      <c r="F5" s="7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50</v>
      </c>
      <c r="C8" s="92"/>
      <c r="D8" s="92"/>
      <c r="E8" s="92"/>
      <c r="F8" s="93"/>
      <c r="G8" s="1"/>
    </row>
    <row r="9" spans="1:7" x14ac:dyDescent="0.25">
      <c r="A9" s="1"/>
      <c r="B9" s="109" t="s">
        <v>86</v>
      </c>
      <c r="C9" s="110"/>
      <c r="D9" s="111"/>
      <c r="E9" s="8">
        <v>0</v>
      </c>
      <c r="F9" s="12" t="s">
        <v>3</v>
      </c>
      <c r="G9" s="1"/>
    </row>
    <row r="10" spans="1:7" x14ac:dyDescent="0.25">
      <c r="A10" s="1"/>
      <c r="B10" s="85" t="s">
        <v>65</v>
      </c>
      <c r="C10" s="86"/>
      <c r="D10" s="87"/>
      <c r="E10" s="8">
        <f>-E9*'Fane 12. Nøgletal'!C19</f>
        <v>0</v>
      </c>
      <c r="F10" s="12" t="s">
        <v>3</v>
      </c>
      <c r="G10" s="1"/>
    </row>
    <row r="11" spans="1:7" x14ac:dyDescent="0.25">
      <c r="A11" s="1"/>
      <c r="B11" s="91" t="s">
        <v>158</v>
      </c>
      <c r="C11" s="92"/>
      <c r="D11" s="93"/>
      <c r="E11" s="10">
        <f>SUM(E9:E10)*(1+'Fane 12. Nøgletal'!C13)^3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1" t="s">
        <v>51</v>
      </c>
      <c r="C13" s="92"/>
      <c r="D13" s="92"/>
      <c r="E13" s="92"/>
      <c r="F13" s="93"/>
      <c r="G13" s="1"/>
    </row>
    <row r="14" spans="1:7" x14ac:dyDescent="0.25">
      <c r="A14" s="1"/>
      <c r="B14" s="109" t="s">
        <v>86</v>
      </c>
      <c r="C14" s="110"/>
      <c r="D14" s="111"/>
      <c r="E14" s="8">
        <v>0</v>
      </c>
      <c r="F14" s="12" t="s">
        <v>3</v>
      </c>
      <c r="G14" s="1"/>
    </row>
    <row r="15" spans="1:7" x14ac:dyDescent="0.25">
      <c r="A15" s="1"/>
      <c r="B15" s="85" t="s">
        <v>65</v>
      </c>
      <c r="C15" s="86"/>
      <c r="D15" s="87"/>
      <c r="E15" s="8">
        <f>-E14*'Fane 12. Nøgletal'!C19</f>
        <v>0</v>
      </c>
      <c r="F15" s="12" t="s">
        <v>3</v>
      </c>
      <c r="G15" s="1"/>
    </row>
    <row r="16" spans="1:7" x14ac:dyDescent="0.25">
      <c r="A16" s="1"/>
      <c r="B16" s="91" t="s">
        <v>52</v>
      </c>
      <c r="C16" s="92"/>
      <c r="D16" s="93"/>
      <c r="E16" s="10">
        <f>SUM(E14:E15)*(1+'Fane 12. Nøgletal'!C13)^4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1" t="s">
        <v>87</v>
      </c>
      <c r="C18" s="92"/>
      <c r="D18" s="92"/>
      <c r="E18" s="92"/>
      <c r="F18" s="93"/>
      <c r="G18" s="1"/>
    </row>
    <row r="19" spans="1:7" x14ac:dyDescent="0.25">
      <c r="A19" s="1"/>
      <c r="B19" s="109" t="s">
        <v>140</v>
      </c>
      <c r="C19" s="110"/>
      <c r="D19" s="111"/>
      <c r="E19" s="8">
        <v>0</v>
      </c>
      <c r="F19" s="12" t="s">
        <v>3</v>
      </c>
      <c r="G19" s="1"/>
    </row>
    <row r="20" spans="1:7" x14ac:dyDescent="0.25">
      <c r="A20" s="1"/>
      <c r="B20" s="85" t="s">
        <v>65</v>
      </c>
      <c r="C20" s="86"/>
      <c r="D20" s="87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1" t="s">
        <v>88</v>
      </c>
      <c r="C21" s="92"/>
      <c r="D21" s="93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1" t="s">
        <v>141</v>
      </c>
      <c r="C23" s="92"/>
      <c r="D23" s="92"/>
      <c r="E23" s="92"/>
      <c r="F23" s="93"/>
      <c r="G23" s="1"/>
    </row>
    <row r="24" spans="1:7" ht="15" customHeight="1" x14ac:dyDescent="0.25">
      <c r="A24" s="1"/>
      <c r="B24" s="109" t="s">
        <v>140</v>
      </c>
      <c r="C24" s="110"/>
      <c r="D24" s="111"/>
      <c r="E24" s="8">
        <v>0</v>
      </c>
      <c r="F24" s="12" t="s">
        <v>3</v>
      </c>
      <c r="G24" s="1"/>
    </row>
    <row r="25" spans="1:7" x14ac:dyDescent="0.25">
      <c r="A25" s="1"/>
      <c r="B25" s="85" t="s">
        <v>65</v>
      </c>
      <c r="C25" s="86"/>
      <c r="D25" s="87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1" t="s">
        <v>142</v>
      </c>
      <c r="C26" s="92"/>
      <c r="D26" s="93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1JSaH7hg/lVk3Ny6CeZF0Jr3KYzEOJExhZ/FrxNHSmFrWNBkK4FRs1mE6pM1GNHCEJ4/92y7awujq+DXIS/dfw==" saltValue="kUoVZ0IvwjgVXnMppcUbkw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89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90</v>
      </c>
      <c r="C8" s="92"/>
      <c r="D8" s="92"/>
      <c r="E8" s="92"/>
      <c r="F8" s="93"/>
      <c r="G8" s="1"/>
    </row>
    <row r="9" spans="1:7" ht="15" customHeight="1" x14ac:dyDescent="0.25">
      <c r="A9" s="1"/>
      <c r="B9" s="56" t="s">
        <v>91</v>
      </c>
      <c r="C9" s="112" t="s">
        <v>11</v>
      </c>
      <c r="D9" s="113"/>
      <c r="E9" s="112" t="s">
        <v>29</v>
      </c>
      <c r="F9" s="113"/>
      <c r="G9" s="1"/>
    </row>
    <row r="10" spans="1:7" x14ac:dyDescent="0.25">
      <c r="A10" s="1"/>
      <c r="B10" s="20" t="s">
        <v>163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+JZNudKFjlBq2Nc07DQ2MQwnYphjpPduhHBZgC06p4u04XAJaj7WRCEJPK/eORzpfABJ6B1SmSL+4rxXHdtXA==" saltValue="GxsuLnGgP0orRvrx7f0YIQ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69</v>
      </c>
      <c r="C3" s="78"/>
      <c r="D3" s="78"/>
      <c r="E3" s="78"/>
      <c r="F3" s="78"/>
      <c r="G3" s="1"/>
    </row>
    <row r="4" spans="1:7" ht="25.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53</v>
      </c>
      <c r="C8" s="92"/>
      <c r="D8" s="92"/>
      <c r="E8" s="92"/>
      <c r="F8" s="93"/>
      <c r="G8" s="1"/>
    </row>
    <row r="9" spans="1:7" ht="15" customHeight="1" x14ac:dyDescent="0.25">
      <c r="A9" s="1"/>
      <c r="B9" s="56" t="s">
        <v>18</v>
      </c>
      <c r="C9" s="56" t="s">
        <v>11</v>
      </c>
      <c r="D9" s="57"/>
      <c r="E9" s="56" t="s">
        <v>29</v>
      </c>
      <c r="F9" s="57"/>
      <c r="G9" s="1"/>
    </row>
    <row r="10" spans="1:7" x14ac:dyDescent="0.25">
      <c r="A10" s="1"/>
      <c r="B10" s="20" t="s">
        <v>168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8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54</v>
      </c>
      <c r="C14" s="92"/>
      <c r="D14" s="92"/>
      <c r="E14" s="92"/>
      <c r="F14" s="93"/>
      <c r="G14" s="1"/>
    </row>
    <row r="15" spans="1:7" ht="26.25" x14ac:dyDescent="0.25">
      <c r="A15" s="1"/>
      <c r="B15" s="56" t="s">
        <v>18</v>
      </c>
      <c r="C15" s="56" t="s">
        <v>11</v>
      </c>
      <c r="D15" s="57"/>
      <c r="E15" s="56" t="s">
        <v>29</v>
      </c>
      <c r="F15" s="57"/>
      <c r="G15" s="1"/>
    </row>
    <row r="16" spans="1:7" x14ac:dyDescent="0.25">
      <c r="A16" s="1"/>
      <c r="B16" s="20" t="s">
        <v>168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8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8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93</v>
      </c>
      <c r="C20" s="92"/>
      <c r="D20" s="92"/>
      <c r="E20" s="92"/>
      <c r="F20" s="93"/>
      <c r="G20" s="1"/>
    </row>
    <row r="21" spans="1:7" ht="26.25" x14ac:dyDescent="0.25">
      <c r="A21" s="1"/>
      <c r="B21" s="56" t="s">
        <v>18</v>
      </c>
      <c r="C21" s="56" t="s">
        <v>11</v>
      </c>
      <c r="D21" s="57"/>
      <c r="E21" s="56" t="s">
        <v>29</v>
      </c>
      <c r="F21" s="57"/>
      <c r="G21" s="1"/>
    </row>
    <row r="22" spans="1:7" x14ac:dyDescent="0.25">
      <c r="A22" s="1"/>
      <c r="B22" s="20" t="s">
        <v>168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8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8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144</v>
      </c>
      <c r="C26" s="92"/>
      <c r="D26" s="92"/>
      <c r="E26" s="92"/>
      <c r="F26" s="93"/>
      <c r="G26" s="1"/>
    </row>
    <row r="27" spans="1:7" ht="26.25" x14ac:dyDescent="0.25">
      <c r="A27" s="1"/>
      <c r="B27" s="56" t="s">
        <v>18</v>
      </c>
      <c r="C27" s="56" t="s">
        <v>11</v>
      </c>
      <c r="D27" s="57"/>
      <c r="E27" s="56" t="s">
        <v>29</v>
      </c>
      <c r="F27" s="57"/>
      <c r="G27" s="1"/>
    </row>
    <row r="28" spans="1:7" x14ac:dyDescent="0.25">
      <c r="A28" s="1"/>
      <c r="B28" s="20" t="s">
        <v>168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8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8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dCS6Wh+eS17OpS5nDregL1UnjdraxWHeBo95VeojtH4Vg64v0shw5aHZTXy/2ueKsFU0DhZtmkB3ne6CM0CSQ==" saltValue="sdHlVJvxBArFGf2ZWLSHNg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8" t="s">
        <v>109</v>
      </c>
      <c r="C3" s="78"/>
      <c r="D3" s="1"/>
    </row>
    <row r="4" spans="1:4" ht="25.5" customHeight="1" x14ac:dyDescent="0.25">
      <c r="A4" s="1"/>
      <c r="B4" s="78"/>
      <c r="C4" s="7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59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8"/>
      <c r="C15" s="59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65</v>
      </c>
      <c r="C18" s="59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4"/>
      <c r="C20" s="115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VhFulr81Y402ofjNqxSZyrY61CBXYlTJeDTMAPuM3q1ad0oaUWbuIEz6gtvQF9zQqx0DLay8jJfgAkrZtkSSg==" saltValue="0HkkCQ8Phsmi4eFHUnHUzQ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114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7" t="s">
        <v>25</v>
      </c>
      <c r="C9" s="47"/>
      <c r="D9" s="47"/>
      <c r="E9" s="7">
        <f>'Fane 3. Omkostninger i ØR2021'!$E$16</f>
        <v>18208011.11528464</v>
      </c>
      <c r="F9" s="47" t="s">
        <v>3</v>
      </c>
      <c r="G9" s="1"/>
    </row>
    <row r="10" spans="1:7" x14ac:dyDescent="0.25">
      <c r="A10" s="1"/>
      <c r="B10" s="35" t="s">
        <v>150</v>
      </c>
      <c r="C10" s="47"/>
      <c r="D10" s="47"/>
      <c r="E10" s="7">
        <f>('Fane 3. Omkostninger i ØR2021'!E11+'Fane 3. Omkostninger i ØR2021'!E12)*(1+'Fane 12. Nøgletal'!C13)*(1-'Fane 12. Nøgletal'!C19)</f>
        <v>0</v>
      </c>
      <c r="F10" s="47" t="s">
        <v>3</v>
      </c>
      <c r="G10" s="1"/>
    </row>
    <row r="11" spans="1:7" ht="17.100000000000001" customHeight="1" x14ac:dyDescent="0.25">
      <c r="A11" s="1"/>
      <c r="B11" s="27" t="s">
        <v>78</v>
      </c>
      <c r="C11" s="47"/>
      <c r="D11" s="47"/>
      <c r="E11" s="7">
        <f>'Fane 8.1. Varige tillæg'!C12+'Fane 8.1. Varige tillæg'!E12</f>
        <v>0</v>
      </c>
      <c r="F11" s="47" t="s">
        <v>3</v>
      </c>
      <c r="G11" s="1"/>
    </row>
    <row r="12" spans="1:7" ht="17.100000000000001" customHeight="1" x14ac:dyDescent="0.25">
      <c r="A12" s="1"/>
      <c r="B12" s="27" t="s">
        <v>79</v>
      </c>
      <c r="C12" s="47"/>
      <c r="D12" s="47"/>
      <c r="E12" s="8">
        <f>-('Fane 11. Bortfald'!C12+'Fane 11. Bortfald'!E12)</f>
        <v>0</v>
      </c>
      <c r="F12" s="47" t="s">
        <v>3</v>
      </c>
      <c r="G12" s="1"/>
    </row>
    <row r="13" spans="1:7" ht="17.100000000000001" customHeight="1" x14ac:dyDescent="0.25">
      <c r="A13" s="1"/>
      <c r="B13" s="27" t="s">
        <v>82</v>
      </c>
      <c r="C13" s="47"/>
      <c r="D13" s="47"/>
      <c r="E13" s="8">
        <f>'Fane 10. Tilknyttet virksomhed'!C12+'Fane 10. Tilknyttet virksomhed'!E12</f>
        <v>0</v>
      </c>
      <c r="F13" s="47" t="s">
        <v>3</v>
      </c>
      <c r="G13" s="1"/>
    </row>
    <row r="14" spans="1:7" ht="17.100000000000001" customHeight="1" x14ac:dyDescent="0.25">
      <c r="A14" s="1"/>
      <c r="B14" s="27" t="s">
        <v>19</v>
      </c>
      <c r="C14" s="47"/>
      <c r="D14" s="47"/>
      <c r="E14" s="8">
        <f>E9*'Fane 12. Nøgletal'!C13+SUM(E11:E13)*'Fane 12. Nøgletal'!C14</f>
        <v>240345.74672175726</v>
      </c>
      <c r="F14" s="47" t="s">
        <v>3</v>
      </c>
      <c r="G14" s="1"/>
    </row>
    <row r="15" spans="1:7" ht="17.100000000000001" customHeight="1" x14ac:dyDescent="0.25">
      <c r="A15" s="1"/>
      <c r="B15" s="27" t="s">
        <v>65</v>
      </c>
      <c r="C15" s="47"/>
      <c r="D15" s="47"/>
      <c r="E15" s="8">
        <f>-SUM(E9,E11:E14)*'Fane 12. Nøgletal'!C19</f>
        <v>-313622.06665410876</v>
      </c>
      <c r="F15" s="47" t="s">
        <v>3</v>
      </c>
      <c r="G15" s="1"/>
    </row>
    <row r="16" spans="1:7" ht="15" customHeight="1" x14ac:dyDescent="0.25">
      <c r="A16" s="1"/>
      <c r="B16" s="51" t="s">
        <v>21</v>
      </c>
      <c r="C16" s="42"/>
      <c r="D16" s="42"/>
      <c r="E16" s="9">
        <f>SUM(E9,E11:E15)</f>
        <v>18134734.795352288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omk.'!C14+'Fane 4. Ikke-påvirkelige omk.'!C18+'Fane 4. Ikke-påvirkelige omk.'!C26</f>
        <v>162193.19948392003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1" t="s">
        <v>44</v>
      </c>
      <c r="C20" s="42"/>
      <c r="D20" s="42"/>
      <c r="E20" s="9">
        <f>'Fane 9. Periodevise driftsomk.'!E11</f>
        <v>0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7"/>
      <c r="D22" s="47"/>
      <c r="E22" s="8">
        <f>'Fane 8.2. Engangstillæg'!C13</f>
        <v>0</v>
      </c>
      <c r="F22" s="47" t="s">
        <v>3</v>
      </c>
      <c r="G22" s="1"/>
    </row>
    <row r="23" spans="1:7" x14ac:dyDescent="0.25">
      <c r="A23" s="1"/>
      <c r="B23" s="27" t="s">
        <v>40</v>
      </c>
      <c r="C23" s="47"/>
      <c r="D23" s="47"/>
      <c r="E23" s="8">
        <f>'Fane 8.2. Engangstillæg'!E13</f>
        <v>0</v>
      </c>
      <c r="F23" s="47" t="s">
        <v>3</v>
      </c>
      <c r="G23" s="1"/>
    </row>
    <row r="24" spans="1:7" ht="15" customHeight="1" x14ac:dyDescent="0.25">
      <c r="A24" s="1"/>
      <c r="B24" s="51" t="s">
        <v>45</v>
      </c>
      <c r="C24" s="42"/>
      <c r="D24" s="42"/>
      <c r="E24" s="9">
        <f>SUM(E22:E23)</f>
        <v>0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59"/>
      <c r="E25" s="30"/>
      <c r="F25" s="30"/>
      <c r="G25" s="1"/>
    </row>
    <row r="26" spans="1:7" x14ac:dyDescent="0.25">
      <c r="A26" s="1"/>
      <c r="B26" s="51" t="s">
        <v>32</v>
      </c>
      <c r="C26" s="42"/>
      <c r="D26" s="42"/>
      <c r="E26" s="9">
        <v>-429559.30271487642</v>
      </c>
      <c r="F26" s="31" t="s">
        <v>3</v>
      </c>
      <c r="G26" s="1"/>
    </row>
    <row r="27" spans="1:7" x14ac:dyDescent="0.25">
      <c r="A27" s="1"/>
      <c r="B27" s="51" t="s">
        <v>104</v>
      </c>
      <c r="C27" s="42"/>
      <c r="D27" s="42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0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1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17867368.692121331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Kjyb9AMZHLYPwc4TLZ0tVx2Zz6ywWWMIZQ2ROuW21PkwzC/7zhFWuAlTnMurJ5f9tSf0l+YHyZ8yufBkwzE/A==" saltValue="EpnGkSK7W/j+kLnpi6/Buw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/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7" t="s">
        <v>117</v>
      </c>
      <c r="C9" s="47"/>
      <c r="D9" s="47"/>
      <c r="E9" s="7">
        <f>'Fane 2.1. Økonomisk ramme 2022'!E16</f>
        <v>18134734.795352288</v>
      </c>
      <c r="F9" s="47" t="s">
        <v>3</v>
      </c>
      <c r="G9" s="1"/>
    </row>
    <row r="10" spans="1:7" ht="15" customHeight="1" x14ac:dyDescent="0.25">
      <c r="A10" s="1"/>
      <c r="B10" s="35" t="s">
        <v>150</v>
      </c>
      <c r="C10" s="47"/>
      <c r="D10" s="47"/>
      <c r="E10" s="7">
        <f>'Fane 2.1. Økonomisk ramme 2022'!E10*(1-'Fane 12. Nøgletal'!C19)*(1+'Fane 12. Nøgletal'!C13)</f>
        <v>0</v>
      </c>
      <c r="F10" s="47" t="s">
        <v>3</v>
      </c>
      <c r="G10" s="1"/>
    </row>
    <row r="11" spans="1:7" ht="15" customHeight="1" x14ac:dyDescent="0.25">
      <c r="A11" s="1"/>
      <c r="B11" s="35" t="s">
        <v>151</v>
      </c>
      <c r="C11" s="47"/>
      <c r="D11" s="47"/>
      <c r="E11" s="7">
        <f>SUM('Fane 2.1. Økonomisk ramme 2022'!E12,'Fane 2.1. Økonomisk ramme 2022'!E11,'Fane 2.1. Økonomisk ramme 2022'!E13)*(1-'Fane 12. Nøgletal'!C19)*(1+'Fane 12. Nøgletal'!C14)</f>
        <v>0</v>
      </c>
      <c r="F11" s="47" t="s">
        <v>3</v>
      </c>
      <c r="G11" s="1"/>
    </row>
    <row r="12" spans="1:7" ht="15" customHeight="1" x14ac:dyDescent="0.25">
      <c r="A12" s="1"/>
      <c r="B12" s="27" t="s">
        <v>79</v>
      </c>
      <c r="C12" s="47"/>
      <c r="D12" s="47"/>
      <c r="E12" s="7">
        <f>-('Fane 11. Bortfald'!C18+'Fane 11. Bortfald'!E18)</f>
        <v>0</v>
      </c>
      <c r="F12" s="47" t="s">
        <v>3</v>
      </c>
      <c r="G12" s="1"/>
    </row>
    <row r="13" spans="1:7" ht="15" customHeight="1" x14ac:dyDescent="0.25">
      <c r="A13" s="1"/>
      <c r="B13" s="41" t="s">
        <v>19</v>
      </c>
      <c r="C13" s="47"/>
      <c r="D13" s="47"/>
      <c r="E13" s="8">
        <f>(E9-E11)*'Fane 12. Nøgletal'!C13+SUM(E11:E12)*'Fane 12. Nøgletal'!C14</f>
        <v>239378.49929865019</v>
      </c>
      <c r="F13" s="47" t="s">
        <v>3</v>
      </c>
      <c r="G13" s="1"/>
    </row>
    <row r="14" spans="1:7" ht="15" customHeight="1" x14ac:dyDescent="0.25">
      <c r="A14" s="1"/>
      <c r="B14" s="41" t="s">
        <v>65</v>
      </c>
      <c r="C14" s="47"/>
      <c r="D14" s="47"/>
      <c r="E14" s="8">
        <f>-SUM(E9,E12:E13)*'Fane 12. Nøgletal'!C19</f>
        <v>-312359.926009066</v>
      </c>
      <c r="F14" s="47" t="s">
        <v>3</v>
      </c>
      <c r="G14" s="1"/>
    </row>
    <row r="15" spans="1:7" ht="15" customHeight="1" x14ac:dyDescent="0.25">
      <c r="A15" s="1"/>
      <c r="B15" s="42" t="s">
        <v>21</v>
      </c>
      <c r="C15" s="42"/>
      <c r="D15" s="42"/>
      <c r="E15" s="9">
        <f>SUM(E9,E12:E14)</f>
        <v>18061753.368641872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omk.'!C14*(1+'Fane 12. Nøgletal'!C14)+'Fane 4. Ikke-påvirkelige omk.'!C19+'Fane 4. Ikke-påvirkelige omk.'!C27</f>
        <v>162728.43704221697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1" t="s">
        <v>44</v>
      </c>
      <c r="C19" s="42"/>
      <c r="D19" s="42"/>
      <c r="E19" s="9">
        <f>'Fane 9. Periodevise driftsomk.'!E16</f>
        <v>0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7"/>
      <c r="D21" s="47"/>
      <c r="E21" s="8">
        <f>'Fane 8.2. Engangstillæg'!C20</f>
        <v>0</v>
      </c>
      <c r="F21" s="47" t="s">
        <v>3</v>
      </c>
      <c r="G21" s="1"/>
    </row>
    <row r="22" spans="1:7" ht="15" customHeight="1" x14ac:dyDescent="0.25">
      <c r="A22" s="1"/>
      <c r="B22" s="27" t="s">
        <v>40</v>
      </c>
      <c r="C22" s="47"/>
      <c r="D22" s="47"/>
      <c r="E22" s="8">
        <f>'Fane 8.2. Engangstillæg'!E20</f>
        <v>0</v>
      </c>
      <c r="F22" s="47" t="s">
        <v>3</v>
      </c>
      <c r="G22" s="1"/>
    </row>
    <row r="23" spans="1:7" ht="15" customHeight="1" x14ac:dyDescent="0.25">
      <c r="A23" s="1"/>
      <c r="B23" s="51" t="s">
        <v>45</v>
      </c>
      <c r="C23" s="42"/>
      <c r="D23" s="42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59"/>
      <c r="E24" s="30"/>
      <c r="F24" s="30"/>
      <c r="G24" s="1"/>
    </row>
    <row r="25" spans="1:7" ht="15" customHeight="1" x14ac:dyDescent="0.25">
      <c r="A25" s="1"/>
      <c r="B25" s="51" t="s">
        <v>32</v>
      </c>
      <c r="C25" s="42"/>
      <c r="D25" s="42"/>
      <c r="E25" s="9">
        <v>-429559.30271487642</v>
      </c>
      <c r="F25" s="31" t="s">
        <v>3</v>
      </c>
      <c r="G25" s="1"/>
    </row>
    <row r="26" spans="1:7" x14ac:dyDescent="0.25">
      <c r="A26" s="1"/>
      <c r="B26" s="51" t="s">
        <v>104</v>
      </c>
      <c r="C26" s="42"/>
      <c r="D26" s="42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1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17794922.502969213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9FxSh5DwuMDst+d+0R01WC7cvUyF+rk1vaPQ+kJjMBVH/fN+aW5noon0yCRz/xSoxHCTPpZAXOZnCCtni1hSkw==" saltValue="vNCL02j+mX00comNvyNK7w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157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7" t="s">
        <v>119</v>
      </c>
      <c r="C8" s="47"/>
      <c r="D8" s="47"/>
      <c r="E8" s="7">
        <f>'Fane 2.2. Økonomisk ramme 2023'!E15</f>
        <v>18061753.368641872</v>
      </c>
      <c r="F8" s="47" t="s">
        <v>3</v>
      </c>
      <c r="G8" s="1"/>
    </row>
    <row r="9" spans="1:7" ht="15" customHeight="1" x14ac:dyDescent="0.25">
      <c r="A9" s="1"/>
      <c r="B9" s="47" t="s">
        <v>79</v>
      </c>
      <c r="C9" s="47"/>
      <c r="D9" s="47"/>
      <c r="E9" s="7">
        <f>-('Fane 11. Bortfald'!C24+'Fane 11. Bortfald'!E24)</f>
        <v>0</v>
      </c>
      <c r="F9" s="47" t="s">
        <v>3</v>
      </c>
      <c r="G9" s="1"/>
    </row>
    <row r="10" spans="1:7" ht="15" customHeight="1" x14ac:dyDescent="0.25">
      <c r="A10" s="1"/>
      <c r="B10" s="41" t="s">
        <v>19</v>
      </c>
      <c r="C10" s="47"/>
      <c r="D10" s="47"/>
      <c r="E10" s="8">
        <f>SUM(E8:E9)*'Fane 12. Nøgletal'!C14</f>
        <v>59603.786116518175</v>
      </c>
      <c r="F10" s="47" t="s">
        <v>3</v>
      </c>
      <c r="G10" s="1"/>
    </row>
    <row r="11" spans="1:7" x14ac:dyDescent="0.25">
      <c r="A11" s="1"/>
      <c r="B11" s="41" t="s">
        <v>65</v>
      </c>
      <c r="C11" s="47"/>
      <c r="D11" s="47"/>
      <c r="E11" s="8">
        <f>-SUM(E8:E10)*'Fane 12. Nøgletal'!C19</f>
        <v>-308063.07163089263</v>
      </c>
      <c r="F11" s="47" t="s">
        <v>3</v>
      </c>
      <c r="G11" s="1"/>
    </row>
    <row r="12" spans="1:7" x14ac:dyDescent="0.25">
      <c r="A12" s="1"/>
      <c r="B12" s="42" t="s">
        <v>21</v>
      </c>
      <c r="C12" s="42"/>
      <c r="D12" s="42"/>
      <c r="E12" s="9">
        <f>SUM(E8:E11)</f>
        <v>17813294.083127499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Nøgletal'!C14)^2+'Fane 4. Ikke-påvirkelige omk.'!C20+'Fane 4. Ikke-påvirkelige omk.'!C28</f>
        <v>163265.4408844563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1" t="s">
        <v>44</v>
      </c>
      <c r="C16" s="42"/>
      <c r="D16" s="42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7"/>
      <c r="D18" s="47"/>
      <c r="E18" s="8">
        <f>'Fane 8.2. Engangstillæg'!C27</f>
        <v>0</v>
      </c>
      <c r="F18" s="47" t="s">
        <v>3</v>
      </c>
      <c r="G18" s="1"/>
    </row>
    <row r="19" spans="1:7" ht="15" customHeight="1" x14ac:dyDescent="0.25">
      <c r="A19" s="1"/>
      <c r="B19" s="27" t="s">
        <v>40</v>
      </c>
      <c r="C19" s="47"/>
      <c r="D19" s="47"/>
      <c r="E19" s="8">
        <f>'Fane 8.2. Engangstillæg'!E27</f>
        <v>0</v>
      </c>
      <c r="F19" s="47" t="s">
        <v>3</v>
      </c>
      <c r="G19" s="1"/>
    </row>
    <row r="20" spans="1:7" ht="15" customHeight="1" x14ac:dyDescent="0.25">
      <c r="A20" s="1"/>
      <c r="B20" s="51" t="s">
        <v>45</v>
      </c>
      <c r="C20" s="42"/>
      <c r="D20" s="42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1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17976559.524011955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hCY0G0Sr7itxU6cjz8Q6er0UlrEwHum1Ozv/0vHWTB+IVBBSuEL8QjBS+3BqWPnZY0vBC/rzAuSv8AScLfUaGg==" saltValue="avxQFq7/dtH02Bmv4Y4biA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120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22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7" t="s">
        <v>119</v>
      </c>
      <c r="C8" s="47"/>
      <c r="D8" s="47"/>
      <c r="E8" s="7">
        <f>'Fane 2.3. Økonomisk ramme 2024'!E12</f>
        <v>17813294.083127499</v>
      </c>
      <c r="F8" s="47" t="s">
        <v>3</v>
      </c>
      <c r="G8" s="1"/>
    </row>
    <row r="9" spans="1:7" ht="15" customHeight="1" x14ac:dyDescent="0.25">
      <c r="A9" s="1"/>
      <c r="B9" s="47" t="s">
        <v>79</v>
      </c>
      <c r="C9" s="47"/>
      <c r="D9" s="47"/>
      <c r="E9" s="7">
        <f>-('Fane 11. Bortfald'!C30+'Fane 11. Bortfald'!E30)</f>
        <v>0</v>
      </c>
      <c r="F9" s="47" t="s">
        <v>3</v>
      </c>
      <c r="G9" s="1"/>
    </row>
    <row r="10" spans="1:7" ht="15" customHeight="1" x14ac:dyDescent="0.25">
      <c r="A10" s="1"/>
      <c r="B10" s="41" t="s">
        <v>19</v>
      </c>
      <c r="C10" s="47"/>
      <c r="D10" s="47"/>
      <c r="E10" s="8">
        <f>SUM(E8:E9)*'Fane 12. Nøgletal'!C14</f>
        <v>58783.870474320742</v>
      </c>
      <c r="F10" s="47" t="s">
        <v>3</v>
      </c>
      <c r="G10" s="1"/>
    </row>
    <row r="11" spans="1:7" ht="15" customHeight="1" x14ac:dyDescent="0.25">
      <c r="A11" s="1"/>
      <c r="B11" s="41" t="s">
        <v>65</v>
      </c>
      <c r="C11" s="47"/>
      <c r="D11" s="47"/>
      <c r="E11" s="8">
        <f>-SUM(E8:E10)*'Fane 12. Nøgletal'!C19</f>
        <v>-303825.32521123096</v>
      </c>
      <c r="F11" s="47" t="s">
        <v>3</v>
      </c>
      <c r="G11" s="1"/>
    </row>
    <row r="12" spans="1:7" x14ac:dyDescent="0.25">
      <c r="A12" s="1"/>
      <c r="B12" s="42" t="s">
        <v>21</v>
      </c>
      <c r="C12" s="42"/>
      <c r="D12" s="42"/>
      <c r="E12" s="9">
        <f>SUM(E8:E11)</f>
        <v>17568252.628390588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Nøgletal'!C14)^3+'Fane 4. Ikke-påvirkelige omk.'!C21+'Fane 4. Ikke-påvirkelige omk.'!C29</f>
        <v>163804.21683937503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1" t="s">
        <v>44</v>
      </c>
      <c r="C16" s="42"/>
      <c r="D16" s="42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7"/>
      <c r="D18" s="47"/>
      <c r="E18" s="8">
        <f>'Fane 8.2. Engangstillæg'!C34</f>
        <v>0</v>
      </c>
      <c r="F18" s="47" t="s">
        <v>3</v>
      </c>
      <c r="G18" s="1"/>
    </row>
    <row r="19" spans="1:7" ht="15" customHeight="1" x14ac:dyDescent="0.25">
      <c r="A19" s="1"/>
      <c r="B19" s="27" t="s">
        <v>40</v>
      </c>
      <c r="C19" s="47"/>
      <c r="D19" s="47"/>
      <c r="E19" s="8">
        <f>'Fane 8.2. Engangstillæg'!E34</f>
        <v>0</v>
      </c>
      <c r="F19" s="47" t="s">
        <v>3</v>
      </c>
      <c r="G19" s="1"/>
    </row>
    <row r="20" spans="1:7" ht="15" customHeight="1" x14ac:dyDescent="0.25">
      <c r="A20" s="1"/>
      <c r="B20" s="51" t="s">
        <v>45</v>
      </c>
      <c r="C20" s="42"/>
      <c r="D20" s="42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1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17732056.845229965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hWOq1uQUIjPjmIA1/PEW38vChxRJ5qbLnuPFE7/gjsvMFBlh8bFPGPI/w2KP6SfFVZqxZGgbXKqXAf+GFyL5yA==" saltValue="CHBXC/BNn/l6rLB2RGi6CA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122</v>
      </c>
      <c r="C3" s="78"/>
      <c r="D3" s="78"/>
      <c r="E3" s="78"/>
      <c r="F3" s="78"/>
      <c r="G3" s="1"/>
    </row>
    <row r="4" spans="1:7" ht="29.2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79" t="s">
        <v>24</v>
      </c>
      <c r="C9" s="79"/>
      <c r="D9" s="79"/>
      <c r="E9" s="7">
        <v>18443257.441434767</v>
      </c>
      <c r="F9" s="47" t="s">
        <v>3</v>
      </c>
      <c r="G9" s="1"/>
    </row>
    <row r="10" spans="1:7" x14ac:dyDescent="0.25">
      <c r="A10" s="1"/>
      <c r="B10" s="77" t="s">
        <v>159</v>
      </c>
      <c r="C10" s="77"/>
      <c r="D10" s="77"/>
      <c r="E10" s="7">
        <v>-161673.92143222701</v>
      </c>
      <c r="F10" s="47" t="s">
        <v>3</v>
      </c>
      <c r="G10" s="1"/>
    </row>
    <row r="11" spans="1:7" x14ac:dyDescent="0.25">
      <c r="A11" s="1"/>
      <c r="B11" s="77" t="s">
        <v>78</v>
      </c>
      <c r="C11" s="77"/>
      <c r="D11" s="77"/>
      <c r="E11" s="7">
        <v>0</v>
      </c>
      <c r="F11" s="47" t="s">
        <v>3</v>
      </c>
      <c r="G11" s="1"/>
    </row>
    <row r="12" spans="1:7" x14ac:dyDescent="0.25">
      <c r="A12" s="1"/>
      <c r="B12" s="77" t="s">
        <v>79</v>
      </c>
      <c r="C12" s="77"/>
      <c r="D12" s="77"/>
      <c r="E12" s="8">
        <v>0</v>
      </c>
      <c r="F12" s="47" t="s">
        <v>3</v>
      </c>
      <c r="G12" s="1"/>
    </row>
    <row r="13" spans="1:7" x14ac:dyDescent="0.25">
      <c r="A13" s="1"/>
      <c r="B13" s="77" t="s">
        <v>82</v>
      </c>
      <c r="C13" s="77"/>
      <c r="D13" s="77"/>
      <c r="E13" s="8">
        <v>0</v>
      </c>
      <c r="F13" s="47" t="s">
        <v>3</v>
      </c>
      <c r="G13" s="1"/>
    </row>
    <row r="14" spans="1:7" x14ac:dyDescent="0.25">
      <c r="A14" s="1"/>
      <c r="B14" s="77" t="s">
        <v>19</v>
      </c>
      <c r="C14" s="77"/>
      <c r="D14" s="77"/>
      <c r="E14" s="8">
        <f>SUM(E9:E12)*'Fane 12. Nøgletal'!C13</f>
        <v>241316.90246403354</v>
      </c>
      <c r="F14" s="47" t="s">
        <v>3</v>
      </c>
      <c r="G14" s="1"/>
    </row>
    <row r="15" spans="1:7" x14ac:dyDescent="0.25">
      <c r="A15" s="1"/>
      <c r="B15" s="77" t="s">
        <v>65</v>
      </c>
      <c r="C15" s="77"/>
      <c r="D15" s="77"/>
      <c r="E15" s="8">
        <f>-SUM(E9:E14)*'Fane 12. Nøgletal'!C19</f>
        <v>-314889.30718193174</v>
      </c>
      <c r="F15" s="47" t="s">
        <v>3</v>
      </c>
      <c r="G15" s="1"/>
    </row>
    <row r="16" spans="1:7" x14ac:dyDescent="0.25">
      <c r="A16" s="1"/>
      <c r="B16" s="84" t="s">
        <v>21</v>
      </c>
      <c r="C16" s="84"/>
      <c r="D16" s="84"/>
      <c r="E16" s="9">
        <f>SUM(E9:E15)</f>
        <v>18208011.11528464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59"/>
      <c r="G17" s="1"/>
    </row>
    <row r="18" spans="1:7" ht="14.25" customHeight="1" x14ac:dyDescent="0.25">
      <c r="A18" s="1"/>
      <c r="B18" s="81" t="s">
        <v>12</v>
      </c>
      <c r="C18" s="82"/>
      <c r="D18" s="83"/>
      <c r="E18" s="9">
        <v>207143.17672144005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1" t="s">
        <v>44</v>
      </c>
      <c r="C20" s="32"/>
      <c r="D20" s="33"/>
      <c r="E20" s="9">
        <v>0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5" t="s">
        <v>39</v>
      </c>
      <c r="C22" s="86"/>
      <c r="D22" s="87"/>
      <c r="E22" s="37">
        <v>0</v>
      </c>
      <c r="F22" s="34" t="s">
        <v>3</v>
      </c>
      <c r="G22" s="1"/>
    </row>
    <row r="23" spans="1:7" ht="15.75" customHeight="1" x14ac:dyDescent="0.25">
      <c r="A23" s="1"/>
      <c r="B23" s="85" t="s">
        <v>40</v>
      </c>
      <c r="C23" s="86"/>
      <c r="D23" s="87"/>
      <c r="E23" s="34">
        <v>0</v>
      </c>
      <c r="F23" s="34" t="s">
        <v>3</v>
      </c>
      <c r="G23" s="1"/>
    </row>
    <row r="24" spans="1:7" x14ac:dyDescent="0.25">
      <c r="A24" s="1"/>
      <c r="B24" s="88" t="s">
        <v>45</v>
      </c>
      <c r="C24" s="89"/>
      <c r="D24" s="90"/>
      <c r="E24" s="9">
        <v>0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81" t="s">
        <v>160</v>
      </c>
      <c r="C26" s="82"/>
      <c r="D26" s="83"/>
      <c r="E26" s="9">
        <v>-429559.30271487642</v>
      </c>
      <c r="F26" s="31" t="s">
        <v>3</v>
      </c>
      <c r="G26" s="1"/>
    </row>
    <row r="27" spans="1:7" ht="14.25" customHeight="1" x14ac:dyDescent="0.25">
      <c r="A27" s="1"/>
      <c r="B27" s="81" t="s">
        <v>104</v>
      </c>
      <c r="C27" s="82"/>
      <c r="D27" s="83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81" t="s">
        <v>80</v>
      </c>
      <c r="C29" s="82"/>
      <c r="D29" s="83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18415154.292006079</v>
      </c>
      <c r="F30" s="11" t="s">
        <v>3</v>
      </c>
      <c r="G30" s="1"/>
    </row>
    <row r="31" spans="1:7" ht="28.5" customHeight="1" x14ac:dyDescent="0.25">
      <c r="A31" s="1"/>
      <c r="B31" s="80" t="s">
        <v>124</v>
      </c>
      <c r="C31" s="80"/>
      <c r="D31" s="80"/>
      <c r="E31" s="80"/>
      <c r="F31" s="80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f9EcGZ7Si2q0nPQWdb3WONOyA06c5ESQLDJUOq4lmfq6imbG2h4+YAwulSLpJGZ75ipnz0Rbybpm7CGx0GjzAw==" saltValue="1bI3CupvOIfk+xsysuEwHA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  <mergeCell ref="B13:D13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60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125</v>
      </c>
      <c r="C8" s="92"/>
      <c r="D8" s="93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164</v>
      </c>
      <c r="C10" s="8">
        <v>126768</v>
      </c>
      <c r="D10" s="12" t="s">
        <v>3</v>
      </c>
      <c r="E10" s="1"/>
      <c r="F10" s="1"/>
    </row>
    <row r="11" spans="1:6" x14ac:dyDescent="0.25">
      <c r="A11" s="1"/>
      <c r="B11" s="26" t="s">
        <v>165</v>
      </c>
      <c r="C11" s="8">
        <v>4211</v>
      </c>
      <c r="D11" s="12" t="s">
        <v>3</v>
      </c>
      <c r="E11" s="1"/>
      <c r="F11" s="1"/>
    </row>
    <row r="12" spans="1:6" x14ac:dyDescent="0.25">
      <c r="A12" s="1"/>
      <c r="B12" s="26" t="s">
        <v>166</v>
      </c>
      <c r="C12" s="8">
        <v>30149</v>
      </c>
      <c r="D12" s="12" t="s">
        <v>3</v>
      </c>
      <c r="E12" s="1"/>
      <c r="F12" s="1"/>
    </row>
    <row r="13" spans="1:6" x14ac:dyDescent="0.25">
      <c r="A13" s="1"/>
      <c r="B13" s="58" t="s">
        <v>127</v>
      </c>
      <c r="C13" s="10">
        <f>SUM(C10:C12)</f>
        <v>161128</v>
      </c>
      <c r="D13" s="11" t="s">
        <v>3</v>
      </c>
      <c r="E13" s="1"/>
      <c r="F13" s="1"/>
    </row>
    <row r="14" spans="1:6" x14ac:dyDescent="0.25">
      <c r="A14" s="1"/>
      <c r="B14" s="58" t="s">
        <v>128</v>
      </c>
      <c r="C14" s="10">
        <f>C13*(1+'Fane 12. Nøgletal'!C14)^2</f>
        <v>162193.19948392003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91" t="s">
        <v>75</v>
      </c>
      <c r="C17" s="92"/>
      <c r="D17" s="93"/>
      <c r="E17" s="1"/>
      <c r="F17" s="1"/>
    </row>
    <row r="18" spans="1:6" x14ac:dyDescent="0.25">
      <c r="A18" s="1"/>
      <c r="B18" s="26" t="s">
        <v>61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62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84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91"/>
      <c r="C22" s="92"/>
      <c r="D22" s="93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1" t="s">
        <v>59</v>
      </c>
      <c r="C25" s="92"/>
      <c r="D25" s="93"/>
      <c r="E25" s="1"/>
      <c r="F25" s="1"/>
    </row>
    <row r="26" spans="1:6" x14ac:dyDescent="0.25">
      <c r="A26" s="1"/>
      <c r="B26" s="26" t="s">
        <v>61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62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84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91"/>
      <c r="C30" s="92"/>
      <c r="D30" s="93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3gDQPHlb5/EMpgdgxLm2G9HTMDM+eXIF/gQjcLjsV085su6vwCnhdrHV+m3oE7xK2Q5nNwvvECWoMp7vcBJmCw==" saltValue="++VwY8nfIJZ2izY9P4H3yA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185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169</v>
      </c>
      <c r="C8" s="92"/>
      <c r="D8" s="92"/>
      <c r="E8" s="92"/>
      <c r="F8" s="93"/>
      <c r="G8" s="1"/>
    </row>
    <row r="9" spans="1:7" x14ac:dyDescent="0.25">
      <c r="A9" s="1"/>
      <c r="B9" s="94" t="s">
        <v>170</v>
      </c>
      <c r="C9" s="95"/>
      <c r="D9" s="96"/>
      <c r="E9" s="8">
        <v>781559.18499999866</v>
      </c>
      <c r="F9" s="12" t="s">
        <v>3</v>
      </c>
      <c r="G9" s="1"/>
    </row>
    <row r="10" spans="1:7" x14ac:dyDescent="0.25">
      <c r="A10" s="1"/>
      <c r="B10" s="94" t="s">
        <v>171</v>
      </c>
      <c r="C10" s="95"/>
      <c r="D10" s="96"/>
      <c r="E10" s="8">
        <v>1267504.2998015098</v>
      </c>
      <c r="F10" s="12" t="s">
        <v>3</v>
      </c>
      <c r="G10" s="1"/>
    </row>
    <row r="11" spans="1:7" x14ac:dyDescent="0.25">
      <c r="A11" s="1"/>
      <c r="B11" s="94" t="s">
        <v>172</v>
      </c>
      <c r="C11" s="95"/>
      <c r="D11" s="96"/>
      <c r="E11" s="8">
        <v>1711139.1122942045</v>
      </c>
      <c r="F11" s="12" t="s">
        <v>3</v>
      </c>
      <c r="G11" s="1"/>
    </row>
    <row r="12" spans="1:7" x14ac:dyDescent="0.25">
      <c r="A12" s="1"/>
      <c r="B12" s="58"/>
      <c r="C12" s="22"/>
      <c r="D12" s="22"/>
      <c r="E12" s="22"/>
      <c r="F12" s="59"/>
      <c r="G12" s="1"/>
    </row>
    <row r="13" spans="1:7" ht="53.25" customHeight="1" x14ac:dyDescent="0.25">
      <c r="A13" s="1"/>
      <c r="B13" s="97" t="s">
        <v>173</v>
      </c>
      <c r="C13" s="98"/>
      <c r="D13" s="98"/>
      <c r="E13" s="98"/>
      <c r="F13" s="99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1" t="s">
        <v>174</v>
      </c>
      <c r="C15" s="92"/>
      <c r="D15" s="92"/>
      <c r="E15" s="92"/>
      <c r="F15" s="93"/>
      <c r="G15" s="1"/>
    </row>
    <row r="16" spans="1:7" x14ac:dyDescent="0.25">
      <c r="A16" s="1"/>
      <c r="B16" s="94" t="s">
        <v>175</v>
      </c>
      <c r="C16" s="95"/>
      <c r="D16" s="96"/>
      <c r="E16" s="8">
        <v>0</v>
      </c>
      <c r="F16" s="12" t="s">
        <v>3</v>
      </c>
      <c r="G16" s="1"/>
    </row>
    <row r="17" spans="1:7" x14ac:dyDescent="0.25">
      <c r="A17" s="1"/>
      <c r="B17" s="94" t="s">
        <v>176</v>
      </c>
      <c r="C17" s="95"/>
      <c r="D17" s="96"/>
      <c r="E17" s="8">
        <v>0</v>
      </c>
      <c r="F17" s="12" t="s">
        <v>3</v>
      </c>
      <c r="G17" s="1"/>
    </row>
    <row r="18" spans="1:7" x14ac:dyDescent="0.25">
      <c r="A18" s="1"/>
      <c r="B18" s="94" t="s">
        <v>177</v>
      </c>
      <c r="C18" s="95"/>
      <c r="D18" s="96"/>
      <c r="E18" s="8">
        <v>0</v>
      </c>
      <c r="F18" s="12" t="s">
        <v>3</v>
      </c>
      <c r="G18" s="1"/>
    </row>
    <row r="19" spans="1:7" x14ac:dyDescent="0.25">
      <c r="A19" s="1"/>
      <c r="B19" s="58"/>
      <c r="C19" s="22"/>
      <c r="D19" s="22"/>
      <c r="E19" s="22"/>
      <c r="F19" s="59"/>
      <c r="G19" s="1"/>
    </row>
    <row r="20" spans="1:7" ht="31.5" customHeight="1" x14ac:dyDescent="0.25">
      <c r="A20" s="1"/>
      <c r="B20" s="97" t="s">
        <v>178</v>
      </c>
      <c r="C20" s="98"/>
      <c r="D20" s="98"/>
      <c r="E20" s="98"/>
      <c r="F20" s="9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8" t="s">
        <v>152</v>
      </c>
      <c r="C22" s="49"/>
      <c r="D22" s="49"/>
      <c r="E22" s="49"/>
      <c r="F22" s="50"/>
      <c r="G22" s="1"/>
    </row>
    <row r="23" spans="1:7" x14ac:dyDescent="0.25">
      <c r="A23" s="1"/>
      <c r="B23" s="52" t="s">
        <v>153</v>
      </c>
      <c r="C23" s="53"/>
      <c r="D23" s="54"/>
      <c r="E23" s="8">
        <v>18764419.052597996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18139641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3" t="s">
        <v>155</v>
      </c>
      <c r="C26" s="44"/>
      <c r="D26" s="45"/>
      <c r="E26" s="36">
        <f>E23-(E24-E25)</f>
        <v>624778.05259799585</v>
      </c>
      <c r="F26" s="15" t="s">
        <v>3</v>
      </c>
      <c r="G26" s="1"/>
    </row>
    <row r="27" spans="1:7" x14ac:dyDescent="0.25">
      <c r="A27" s="1"/>
      <c r="B27" s="58"/>
      <c r="C27" s="22"/>
      <c r="D27" s="22"/>
      <c r="E27" s="22"/>
      <c r="F27" s="5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1" t="s">
        <v>179</v>
      </c>
      <c r="C29" s="92"/>
      <c r="D29" s="92"/>
      <c r="E29" s="92"/>
      <c r="F29" s="93"/>
      <c r="G29" s="1"/>
    </row>
    <row r="30" spans="1:7" x14ac:dyDescent="0.25">
      <c r="A30" s="1"/>
      <c r="B30" s="88" t="s">
        <v>180</v>
      </c>
      <c r="C30" s="89"/>
      <c r="D30" s="90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8" t="s">
        <v>181</v>
      </c>
      <c r="C31" s="89"/>
      <c r="D31" s="90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1"/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1" t="s">
        <v>182</v>
      </c>
      <c r="C34" s="92"/>
      <c r="D34" s="92"/>
      <c r="E34" s="92"/>
      <c r="F34" s="93"/>
      <c r="G34" s="1"/>
    </row>
    <row r="35" spans="1:7" x14ac:dyDescent="0.25">
      <c r="A35" s="1"/>
      <c r="B35" s="103" t="s">
        <v>105</v>
      </c>
      <c r="C35" s="104"/>
      <c r="D35" s="105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103" t="s">
        <v>68</v>
      </c>
      <c r="C36" s="104"/>
      <c r="D36" s="105"/>
      <c r="E36" s="8">
        <v>4</v>
      </c>
      <c r="F36" s="12" t="s">
        <v>20</v>
      </c>
      <c r="G36" s="1"/>
    </row>
    <row r="37" spans="1:7" x14ac:dyDescent="0.25">
      <c r="A37" s="1"/>
      <c r="B37" s="106" t="s">
        <v>183</v>
      </c>
      <c r="C37" s="106"/>
      <c r="D37" s="106"/>
      <c r="E37" s="9">
        <f>E35/E36</f>
        <v>0</v>
      </c>
      <c r="F37" s="15" t="s">
        <v>3</v>
      </c>
      <c r="G37" s="1"/>
    </row>
    <row r="38" spans="1:7" x14ac:dyDescent="0.25">
      <c r="A38" s="1"/>
      <c r="B38" s="100"/>
      <c r="C38" s="101"/>
      <c r="D38" s="101"/>
      <c r="E38" s="101"/>
      <c r="F38" s="102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9zUqk7YtebBKCd4ax5m2QEN+gZ8u08aAbNie4U2nhGOUqispd5K3+/f/gfrsMUd3a4+aYrBKBI9tUehudheAtA==" saltValue="3OHGbc+cfYWu8W7P0VfZ4w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38:F38"/>
    <mergeCell ref="B36:D36"/>
    <mergeCell ref="B37:D37"/>
    <mergeCell ref="B31:D31"/>
    <mergeCell ref="B29:F29"/>
    <mergeCell ref="B30:D30"/>
    <mergeCell ref="B32:F32"/>
    <mergeCell ref="B34:F34"/>
    <mergeCell ref="B35:D35"/>
    <mergeCell ref="B3:F4"/>
    <mergeCell ref="B16:D16"/>
    <mergeCell ref="B20:F20"/>
    <mergeCell ref="B17:D17"/>
    <mergeCell ref="B18:D18"/>
    <mergeCell ref="B9:D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8" t="s">
        <v>130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7" t="s">
        <v>131</v>
      </c>
      <c r="C9" s="107"/>
      <c r="D9" s="107"/>
      <c r="E9" s="107"/>
      <c r="F9" s="107"/>
      <c r="G9" s="1"/>
    </row>
    <row r="10" spans="1:7" x14ac:dyDescent="0.25">
      <c r="A10" s="1"/>
      <c r="B10" s="80" t="s">
        <v>63</v>
      </c>
      <c r="C10" s="80"/>
      <c r="D10" s="80"/>
      <c r="E10" s="7">
        <v>0</v>
      </c>
      <c r="F10" s="47" t="s">
        <v>3</v>
      </c>
      <c r="G10" s="1"/>
    </row>
    <row r="11" spans="1:7" x14ac:dyDescent="0.25">
      <c r="A11" s="1"/>
      <c r="B11" s="108" t="s">
        <v>132</v>
      </c>
      <c r="C11" s="108"/>
      <c r="D11" s="108"/>
      <c r="E11" s="7">
        <v>0</v>
      </c>
      <c r="F11" s="47" t="s">
        <v>3</v>
      </c>
      <c r="G11" s="1"/>
    </row>
    <row r="12" spans="1:7" x14ac:dyDescent="0.25">
      <c r="A12" s="1"/>
      <c r="B12" s="106" t="s">
        <v>64</v>
      </c>
      <c r="C12" s="106"/>
      <c r="D12" s="106"/>
      <c r="E12" s="9">
        <f>E11-E10</f>
        <v>0</v>
      </c>
      <c r="F12" s="31" t="s">
        <v>3</v>
      </c>
      <c r="G12" s="1"/>
    </row>
    <row r="13" spans="1:7" x14ac:dyDescent="0.25">
      <c r="A13" s="1"/>
      <c r="B13" s="107" t="s">
        <v>56</v>
      </c>
      <c r="C13" s="107"/>
      <c r="D13" s="107"/>
      <c r="E13" s="107"/>
      <c r="F13" s="107"/>
      <c r="G13" s="1"/>
    </row>
    <row r="14" spans="1:7" x14ac:dyDescent="0.25">
      <c r="A14" s="1"/>
      <c r="B14" s="108" t="s">
        <v>133</v>
      </c>
      <c r="C14" s="108"/>
      <c r="D14" s="108"/>
      <c r="E14" s="8">
        <v>0</v>
      </c>
      <c r="F14" s="47" t="s">
        <v>3</v>
      </c>
      <c r="G14" s="1"/>
    </row>
    <row r="15" spans="1:7" x14ac:dyDescent="0.25">
      <c r="A15" s="1"/>
      <c r="B15" s="108" t="s">
        <v>134</v>
      </c>
      <c r="C15" s="108"/>
      <c r="D15" s="108"/>
      <c r="E15" s="8">
        <v>0</v>
      </c>
      <c r="F15" s="47" t="s">
        <v>3</v>
      </c>
      <c r="G15" s="1"/>
    </row>
    <row r="16" spans="1:7" x14ac:dyDescent="0.25">
      <c r="A16" s="1"/>
      <c r="B16" s="106" t="s">
        <v>64</v>
      </c>
      <c r="C16" s="106"/>
      <c r="D16" s="106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0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oSBCLJEKFSNMCuSdTOwLgjIp/SmAi4t1CAoOpgz5UsQPfiGTYvXb8C4vOoujVuwcZkMF9N6boI373diWHWAhQ==" saltValue="+jvUvsE84NCGWhinJ7p0gg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2021-08-18T10:57:38Z</dcterms:modified>
</cp:coreProperties>
</file>