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RWOS VAND AS (V01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5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E38" i="39"/>
  <c r="C20" i="23" s="1"/>
  <c r="E14" i="39"/>
  <c r="C27" i="2" s="1"/>
  <c r="E22" i="39"/>
  <c r="C21" i="15" s="1"/>
  <c r="C19" i="23"/>
  <c r="C19" i="22"/>
  <c r="C20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52" i="36"/>
  <c r="G54" i="36" s="1"/>
  <c r="C14" i="22" s="1"/>
  <c r="G58" i="36" l="1"/>
  <c r="G60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<sst xmlns="http://schemas.openxmlformats.org/spreadsheetml/2006/main" count="622" uniqueCount="255">
  <si>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</si>
  <si>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</si>
  <si>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</si>
  <si>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</si>
  <si>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</si>
  <si>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</si>
  <si>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</si>
  <si>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</si>
  <si>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</si>
  <si>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</si>
  <si>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</si>
  <si>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</si>
  <si>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</si>
  <si>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</si>
  <si>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</si>
  <si>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</si>
  <si>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</si>
  <si>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</si>
  <si>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</si>
  <si>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</si>
  <si>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</si>
  <si>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</si>
  <si>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</si>
  <si>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</si>
  <si>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</si>
  <si>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</si>
  <si>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</si>
  <si>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</si>
  <si>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</si>
  <si>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</si>
  <si>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</si>
  <si>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</si>
  <si>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</si>
  <si>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</si>
  <si>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</si>
  <si>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</si>
  <si>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</si>
  <si>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</si>
  <si>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</si>
  <si>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</si>
  <si>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</si>
  <si>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</si>
  <si>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</si>
  <si>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</si>
  <si>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</si>
  <si>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</si>
  <si>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</si>
  <si>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</si>
  <si>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</si>
  <si>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</si>
  <si>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</si>
  <si>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</si>
  <si>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</si>
  <si>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</si>
  <si>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</si>
  <si>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</si>
  <si>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</si>
  <si>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</si>
  <si>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</si>
  <si>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</si>
  <si>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</si>
  <si>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</si>
  <si>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</si>
  <si>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</si>
  <si>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</si>
  <si>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</si>
  <si>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</si>
  <si>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</si>
  <si>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</si>
  <si>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</si>
  <si>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</si>
  <si>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</si>
  <si>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</si>
  <si>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</si>
  <si>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</si>
  <si>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</si>
  <si>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</si>
  <si>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</si>
  <si>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</si>
  <si>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</si>
  <si>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</si>
  <si>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</si>
  <si>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</si>
  <si>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</si>
  <si>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</si>
  <si>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</si>
  <si>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</si>
  <si>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</si>
  <si>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</si>
  <si>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</si>
  <si>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</si>
  <si>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</si>
  <si>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</si>
  <si>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</si>
  <si>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</si>
  <si>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</si>
  <si>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</si>
  <si>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</si>
  <si>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</si>
  <si>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</si>
  <si>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</si>
  <si>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</si>
  <si>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</si>
  <si>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</si>
  <si>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</si>
  <si>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</si>
  <si>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</si>
  <si>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</si>
  <si>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</si>
  <si>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</si>
  <si>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</si>
  <si>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</si>
  <si>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</si>
  <si>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</si>
  <si>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</si>
  <si>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</si>
  <si>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</si>
  <si>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</si>
  <si>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</si>
  <si>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</si>
  <si>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</si>
  <si>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</si>
  <si>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</si>
  <si>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</si>
  <si>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</si>
  <si>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</si>
  <si>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</si>
  <si>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</si>
  <si>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</si>
  <si>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</si>
  <si>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</si>
  <si>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</si>
  <si>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</si>
  <si>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</si>
  <si>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</si>
  <si>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</si>
  <si>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</si>
  <si>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</si>
  <si>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</si>
  <si>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</si>
  <si>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</si>
  <si>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</si>
  <si>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</si>
  <si>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</si>
  <si>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</si>
  <si>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</si>
  <si>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</si>
  <si>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</si>
  <si>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</si>
  <si>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</si>
  <si>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</si>
  <si>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</si>
  <si>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</si>
  <si>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</si>
  <si>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</si>
  <si>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</si>
  <si>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</si>
  <si>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</si>
  <si>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</si>
  <si>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</si>
  <si>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</si>
  <si>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</si>
  <si>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</si>
  <si>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</si>
  <si>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</si>
  <si>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</si>
  <si>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</si>
  <si>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</si>
  <si>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</si>
  <si>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</si>
  <si>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</si>
  <si>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</si>
  <si>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</si>
  <si>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</si>
  <si>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</si>
  <si>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</si>
  <si>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</si>
  <si>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</si>
  <si>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</si>
  <si>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</si>
  <si>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</si>
  <si>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</si>
  <si>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</si>
  <si>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</si>
  <si>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</si>
  <si>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</si>
  <si>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</si>
  <si>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</si>
  <si>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</si>
  <si>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</si>
  <si>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</si>
  <si>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</si>
  <si>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</si>
  <si>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</si>
  <si>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</si>
  <si>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</si>
  <si>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</si>
  <si>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</si>
  <si>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</si>
  <si>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</si>
  <si>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</si>
  <si>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</si>
  <si>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</si>
  <si>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</si>
  <si>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</si>
  <si>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</si>
  <si>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</si>
  <si>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</si>
  <si>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</si>
  <si>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</si>
  <si>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</si>
  <si>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</si>
  <si>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</si>
  <si>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</si>
  <si>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</si>
  <si>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</si>
  <si>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</si>
  <si>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</si>
  <si>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</si>
  <si>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</si>
  <si>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</si>
  <si>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</si>
  <si>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</si>
  <si>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</si>
  <si>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</si>
  <si>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</si>
  <si>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</si>
  <si>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</si>
  <si>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</si>
  <si>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</si>
  <si>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</si>
  <si>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</si>
  <si>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</si>
  <si>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</si>
  <si>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</si>
  <si>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</si>
  <si>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</si>
  <si>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</si>
  <si>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</si>
  <si>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</si>
  <si>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</si>
  <si>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</si>
  <si>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</si>
  <si>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</si>
  <si>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</si>
  <si>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</si>
  <si>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</si>
  <si>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</si>
  <si>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</si>
  <si>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</si>
  <si>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</si>
  <si>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Udvidelser af forsyningsområde</t>
  </si>
  <si>
    <t>Til statusmeddelelse for 2022</t>
  </si>
  <si>
    <t>Ingen engangstillæg</t>
  </si>
  <si>
    <t>Force majeure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</si>
</sst>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3-26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C5">
            <v>1.0168999999999999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252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180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181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182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miPhDoNui12UmBB85hNWIv15MnlnN2BKwfgpb26Fo/P+G5prpjUOvpsbt4axOMUdDY8uTeSuvIsHIttl94GJQ==" saltValue="CXK+DikAgFcbkeXRm0FXxA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202</v>
      </c>
      <c r="C8" s="116"/>
      <c r="D8" s="117"/>
      <c r="E8" s="1"/>
      <c r="F8" s="1"/>
    </row>
    <row r="9" spans="1:6" ht="15" customHeight="1" x14ac:dyDescent="0.25">
      <c r="A9" s="1"/>
      <c r="B9" s="55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6" t="s">
        <v>227</v>
      </c>
      <c r="C10" s="9">
        <v>7411999</v>
      </c>
      <c r="D10" s="14" t="s">
        <v>3</v>
      </c>
      <c r="E10" s="1"/>
      <c r="F10" s="1"/>
    </row>
    <row r="11" spans="1:6" x14ac:dyDescent="0.25">
      <c r="A11" s="1"/>
      <c r="B11" s="66" t="s">
        <v>228</v>
      </c>
      <c r="C11" s="9">
        <v>61095</v>
      </c>
      <c r="D11" s="14" t="s">
        <v>3</v>
      </c>
      <c r="E11" s="1"/>
      <c r="F11" s="1"/>
    </row>
    <row r="12" spans="1:6" x14ac:dyDescent="0.25">
      <c r="A12" s="1"/>
      <c r="B12" s="66" t="s">
        <v>229</v>
      </c>
      <c r="C12" s="9">
        <v>6476</v>
      </c>
      <c r="D12" s="14" t="s">
        <v>3</v>
      </c>
      <c r="E12" s="1"/>
      <c r="F12" s="1"/>
    </row>
    <row r="13" spans="1:6" x14ac:dyDescent="0.25">
      <c r="A13" s="1"/>
      <c r="B13" s="66" t="s">
        <v>230</v>
      </c>
      <c r="C13" s="9">
        <v>65242</v>
      </c>
      <c r="D13" s="14" t="s">
        <v>3</v>
      </c>
      <c r="E13" s="1"/>
      <c r="F13" s="1"/>
    </row>
    <row r="14" spans="1:6" x14ac:dyDescent="0.25">
      <c r="A14" s="1"/>
      <c r="B14" s="66" t="s">
        <v>254</v>
      </c>
      <c r="C14" s="9">
        <v>27675.09</v>
      </c>
      <c r="D14" s="14" t="s">
        <v>3</v>
      </c>
      <c r="E14" s="1"/>
      <c r="F14" s="1"/>
    </row>
    <row r="15" spans="1:6" x14ac:dyDescent="0.25">
      <c r="A15" s="1"/>
      <c r="B15" s="58" t="s">
        <v>204</v>
      </c>
      <c r="C15" s="12">
        <f>SUM(C10:C14)</f>
        <v>7572487.0899999999</v>
      </c>
      <c r="D15" s="13" t="s">
        <v>3</v>
      </c>
      <c r="E15" s="1"/>
      <c r="F15" s="1"/>
    </row>
    <row r="16" spans="1:6" x14ac:dyDescent="0.25">
      <c r="A16" s="1"/>
      <c r="B16" s="58" t="s">
        <v>205</v>
      </c>
      <c r="C16" s="12">
        <f>C15*(1+'Fane 12. Nøgletal'!C14)^2</f>
        <v>7622547.9691784112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ldMTYwORRRh1GqyyHY7BYmkjNP9eNhY0bgSTjEIUrpkAPNK19dLl5B9NLzVCses8W9tGKEJ1XF02nhpUPoiqFQ==" saltValue="OdICTItSvlYos9je66m8S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220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3"/>
      <c r="C5" s="53"/>
      <c r="D5" s="53"/>
      <c r="E5" s="53"/>
      <c r="F5" s="53"/>
      <c r="G5" s="1"/>
    </row>
    <row r="6" spans="1:7" ht="15" customHeight="1" x14ac:dyDescent="0.25">
      <c r="A6" s="1"/>
      <c r="B6" s="53"/>
      <c r="C6" s="53"/>
      <c r="D6" s="53"/>
      <c r="E6" s="53"/>
      <c r="F6" s="5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232</v>
      </c>
      <c r="C8" s="116"/>
      <c r="D8" s="116"/>
      <c r="E8" s="116"/>
      <c r="F8" s="117"/>
      <c r="G8" s="1"/>
    </row>
    <row r="9" spans="1:7" x14ac:dyDescent="0.25">
      <c r="A9" s="1"/>
      <c r="B9" s="112" t="s">
        <v>233</v>
      </c>
      <c r="C9" s="113"/>
      <c r="D9" s="114"/>
      <c r="E9" s="9">
        <v>1239086.4541307278</v>
      </c>
      <c r="F9" s="14" t="s">
        <v>3</v>
      </c>
      <c r="G9" s="1"/>
    </row>
    <row r="10" spans="1:7" x14ac:dyDescent="0.25">
      <c r="A10" s="1"/>
      <c r="B10" s="112" t="s">
        <v>234</v>
      </c>
      <c r="C10" s="113"/>
      <c r="D10" s="114"/>
      <c r="E10" s="9">
        <v>557599.09481266513</v>
      </c>
      <c r="F10" s="14" t="s">
        <v>3</v>
      </c>
      <c r="G10" s="1"/>
    </row>
    <row r="11" spans="1:7" x14ac:dyDescent="0.25">
      <c r="A11" s="1"/>
      <c r="B11" s="112" t="s">
        <v>235</v>
      </c>
      <c r="C11" s="113"/>
      <c r="D11" s="114"/>
      <c r="E11" s="9">
        <v>-1724579.0237515122</v>
      </c>
      <c r="F11" s="14" t="s">
        <v>3</v>
      </c>
      <c r="G11" s="1"/>
    </row>
    <row r="12" spans="1:7" x14ac:dyDescent="0.25">
      <c r="A12" s="1"/>
      <c r="B12" s="112" t="s">
        <v>236</v>
      </c>
      <c r="C12" s="113"/>
      <c r="D12" s="114"/>
      <c r="E12" s="9">
        <f>IF(OR(AND(E10&gt;0,E11&lt;0),AND(E11&lt;0,E34&gt;0)),E17+E18,E11)</f>
        <v>-1166979.9051873349</v>
      </c>
      <c r="F12" s="14" t="s">
        <v>3</v>
      </c>
      <c r="G12" s="1"/>
    </row>
    <row r="13" spans="1:7" x14ac:dyDescent="0.25">
      <c r="A13" s="1"/>
      <c r="B13" s="58"/>
      <c r="C13" s="59"/>
      <c r="D13" s="59"/>
      <c r="E13" s="59"/>
      <c r="F13" s="20"/>
      <c r="G13" s="1"/>
    </row>
    <row r="14" spans="1:7" ht="54.75" customHeight="1" x14ac:dyDescent="0.25">
      <c r="A14" s="1"/>
      <c r="B14" s="91" t="s">
        <v>237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238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239</v>
      </c>
      <c r="C17" s="113"/>
      <c r="D17" s="114"/>
      <c r="E17" s="9">
        <v>-583489.95259366743</v>
      </c>
      <c r="F17" s="14" t="s">
        <v>3</v>
      </c>
      <c r="G17" s="1"/>
    </row>
    <row r="18" spans="1:7" x14ac:dyDescent="0.25">
      <c r="A18" s="1"/>
      <c r="B18" s="112" t="s">
        <v>240</v>
      </c>
      <c r="C18" s="113"/>
      <c r="D18" s="114"/>
      <c r="E18" s="9">
        <v>-583489.95259366743</v>
      </c>
      <c r="F18" s="14" t="s">
        <v>3</v>
      </c>
      <c r="G18" s="1"/>
    </row>
    <row r="19" spans="1:7" x14ac:dyDescent="0.25">
      <c r="A19" s="1"/>
      <c r="B19" s="58"/>
      <c r="C19" s="59"/>
      <c r="D19" s="59"/>
      <c r="E19" s="59"/>
      <c r="F19" s="20"/>
      <c r="G19" s="1"/>
    </row>
    <row r="20" spans="1:7" ht="30" customHeight="1" x14ac:dyDescent="0.25">
      <c r="A20" s="1"/>
      <c r="B20" s="91" t="s">
        <v>241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0" t="s">
        <v>206</v>
      </c>
      <c r="C22" s="61"/>
      <c r="D22" s="61"/>
      <c r="E22" s="61"/>
      <c r="F22" s="62"/>
      <c r="G22" s="1"/>
    </row>
    <row r="23" spans="1:7" x14ac:dyDescent="0.25">
      <c r="A23" s="1"/>
      <c r="B23" s="63" t="s">
        <v>207</v>
      </c>
      <c r="C23" s="64"/>
      <c r="D23" s="65"/>
      <c r="E23" s="9">
        <v>21621771.115707196</v>
      </c>
      <c r="F23" s="14" t="s">
        <v>3</v>
      </c>
      <c r="G23" s="1"/>
    </row>
    <row r="24" spans="1:7" x14ac:dyDescent="0.25">
      <c r="A24" s="1"/>
      <c r="B24" s="63" t="s">
        <v>208</v>
      </c>
      <c r="C24" s="64"/>
      <c r="D24" s="65"/>
      <c r="E24" s="9">
        <v>22240568</v>
      </c>
      <c r="F24" s="14" t="s">
        <v>3</v>
      </c>
      <c r="G24" s="1"/>
    </row>
    <row r="25" spans="1:7" x14ac:dyDescent="0.25">
      <c r="A25" s="1"/>
      <c r="B25" s="63" t="s">
        <v>34</v>
      </c>
      <c r="C25" s="64"/>
      <c r="D25" s="65"/>
      <c r="E25" s="9">
        <v>0</v>
      </c>
      <c r="F25" s="14" t="s">
        <v>3</v>
      </c>
      <c r="G25" s="1"/>
    </row>
    <row r="26" spans="1:7" x14ac:dyDescent="0.25">
      <c r="A26" s="1"/>
      <c r="B26" s="67" t="s">
        <v>248</v>
      </c>
      <c r="C26" s="68"/>
      <c r="D26" s="69"/>
      <c r="E26" s="45">
        <f>E23-(E24-E25)</f>
        <v>-618796.8842928037</v>
      </c>
      <c r="F26" s="17" t="s">
        <v>3</v>
      </c>
      <c r="G26" s="1"/>
    </row>
    <row r="27" spans="1:7" x14ac:dyDescent="0.25">
      <c r="A27" s="1"/>
      <c r="B27" s="58"/>
      <c r="C27" s="59"/>
      <c r="D27" s="59"/>
      <c r="E27" s="59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242</v>
      </c>
      <c r="C29" s="116"/>
      <c r="D29" s="116"/>
      <c r="E29" s="116"/>
      <c r="F29" s="117"/>
      <c r="G29" s="1"/>
    </row>
    <row r="30" spans="1:7" x14ac:dyDescent="0.25">
      <c r="A30" s="1"/>
      <c r="B30" s="136" t="s">
        <v>243</v>
      </c>
      <c r="C30" s="137"/>
      <c r="D30" s="138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-583489.95259366743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244</v>
      </c>
      <c r="C33" s="116"/>
      <c r="D33" s="116"/>
      <c r="E33" s="116"/>
      <c r="F33" s="117"/>
      <c r="G33" s="1"/>
    </row>
    <row r="34" spans="1:7" x14ac:dyDescent="0.25">
      <c r="A34" s="1"/>
      <c r="B34" s="130" t="s">
        <v>249</v>
      </c>
      <c r="C34" s="131"/>
      <c r="D34" s="132"/>
      <c r="E34" s="9">
        <v>0</v>
      </c>
      <c r="F34" s="14"/>
      <c r="G34" s="1"/>
    </row>
    <row r="35" spans="1:7" x14ac:dyDescent="0.25">
      <c r="A35" s="1"/>
      <c r="B35" s="130" t="s">
        <v>161</v>
      </c>
      <c r="C35" s="131"/>
      <c r="D35" s="132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-618796.8842928037</v>
      </c>
      <c r="F35" s="14" t="s">
        <v>3</v>
      </c>
      <c r="G35" s="1"/>
    </row>
    <row r="36" spans="1:7" x14ac:dyDescent="0.25">
      <c r="A36" s="1"/>
      <c r="B36" s="130" t="s">
        <v>110</v>
      </c>
      <c r="C36" s="131"/>
      <c r="D36" s="132"/>
      <c r="E36" s="9">
        <v>4</v>
      </c>
      <c r="F36" s="14" t="s">
        <v>19</v>
      </c>
      <c r="G36" s="1"/>
    </row>
    <row r="37" spans="1:7" x14ac:dyDescent="0.25">
      <c r="A37" s="1"/>
      <c r="B37" s="139" t="s">
        <v>160</v>
      </c>
      <c r="C37" s="139"/>
      <c r="D37" s="139"/>
      <c r="E37" s="10">
        <f>E35/E36</f>
        <v>-154699.22107320093</v>
      </c>
      <c r="F37" s="17" t="s">
        <v>3</v>
      </c>
      <c r="G37" s="1"/>
    </row>
    <row r="38" spans="1:7" x14ac:dyDescent="0.25">
      <c r="A38" s="1"/>
      <c r="B38" s="133"/>
      <c r="C38" s="134"/>
      <c r="D38" s="134"/>
      <c r="E38" s="134"/>
      <c r="F38" s="135"/>
      <c r="G38" s="1"/>
    </row>
    <row r="39" spans="1:7" ht="75" customHeight="1" x14ac:dyDescent="0.25">
      <c r="A39" s="1"/>
      <c r="B39" s="91" t="s">
        <v>247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871xLbpsmMY/JN+96pZtA1ZN0Bbj/hfxUztqghzjr+NYVqdkVptbLnfIzHb2ct6Qe359mTHYSya5zbAKnsCoAw==" saltValue="Sa6rAYPraYxv25WOmjmILg==" spinCount="100000" sheet="1" objects="1" scenarios="1"/>
  <mergeCells count="21"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2"/>
      <c r="I9" s="1"/>
    </row>
    <row r="10" spans="1:9" x14ac:dyDescent="0.25">
      <c r="A10" s="1"/>
      <c r="B10" s="47" t="s">
        <v>250</v>
      </c>
      <c r="C10" s="4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oB2Gt6JrMa2xpT9YOP7cklPMk/DGi1Q29+K3lo8a1i40lw8CSp6dXBM4s1g10UseAN3PF//dDHN0Zv9+oXgwTQ==" saltValue="cnlcFpY45xeDjlJstwObf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8" t="s">
        <v>84</v>
      </c>
      <c r="C8" s="59"/>
      <c r="D8" s="59"/>
      <c r="E8" s="59"/>
      <c r="F8" s="20"/>
      <c r="G8" s="1"/>
    </row>
    <row r="9" spans="1:7" ht="17.25" customHeight="1" x14ac:dyDescent="0.25">
      <c r="A9" s="1"/>
      <c r="B9" s="56" t="s">
        <v>16</v>
      </c>
      <c r="C9" s="56" t="s">
        <v>11</v>
      </c>
      <c r="D9" s="57"/>
      <c r="E9" s="56" t="s">
        <v>32</v>
      </c>
      <c r="F9" s="52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25" t="s">
        <v>251</v>
      </c>
      <c r="C11" s="22">
        <v>42138</v>
      </c>
      <c r="D11" s="14" t="s">
        <v>3</v>
      </c>
      <c r="E11" s="9">
        <v>49388</v>
      </c>
      <c r="F11" s="14" t="s">
        <v>3</v>
      </c>
      <c r="G11" s="1"/>
    </row>
    <row r="12" spans="1:7" x14ac:dyDescent="0.25">
      <c r="A12" s="1"/>
      <c r="B12" s="58" t="s">
        <v>136</v>
      </c>
      <c r="C12" s="12">
        <f>SUM(C10:C11)</f>
        <v>42138</v>
      </c>
      <c r="D12" s="13" t="s">
        <v>3</v>
      </c>
      <c r="E12" s="12">
        <f>SUM(E10:E11)</f>
        <v>49388</v>
      </c>
      <c r="F12" s="13" t="s">
        <v>3</v>
      </c>
      <c r="G12" s="1"/>
    </row>
    <row r="13" spans="1:7" x14ac:dyDescent="0.25">
      <c r="A13" s="1"/>
      <c r="B13" s="58" t="s">
        <v>209</v>
      </c>
      <c r="C13" s="12">
        <f>C12*(1+'Fane 12. Nøgletal'!C14)</f>
        <v>42277.055400000005</v>
      </c>
      <c r="D13" s="13" t="s">
        <v>3</v>
      </c>
      <c r="E13" s="12">
        <f>E12*(1+'Fane 12. Nøgletal'!C14)</f>
        <v>49550.9804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tRQU7iegR6vu+2mSCNE0EzcJbgoscrN2zJF41YIiSutzQRmd7/2A8I2dAfqaliXEXYsGGqSn5hF+lvU+kj6cA==" saltValue="HtUhwhjh5bnzy9NCMIYOX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6" t="s">
        <v>16</v>
      </c>
      <c r="C9" s="56" t="s">
        <v>11</v>
      </c>
      <c r="D9" s="57"/>
      <c r="E9" s="56" t="s">
        <v>32</v>
      </c>
      <c r="F9" s="52"/>
      <c r="G9" s="1"/>
    </row>
    <row r="10" spans="1:7" x14ac:dyDescent="0.25">
      <c r="A10" s="1"/>
      <c r="B10" s="25" t="s">
        <v>253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8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8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6" t="s">
        <v>16</v>
      </c>
      <c r="C17" s="56" t="s">
        <v>11</v>
      </c>
      <c r="D17" s="57"/>
      <c r="E17" s="56" t="s">
        <v>32</v>
      </c>
      <c r="F17" s="52"/>
      <c r="G17" s="1"/>
    </row>
    <row r="18" spans="1:7" x14ac:dyDescent="0.25">
      <c r="A18" s="1"/>
      <c r="B18" s="25" t="s">
        <v>253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8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8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6" t="s">
        <v>16</v>
      </c>
      <c r="C25" s="56" t="s">
        <v>11</v>
      </c>
      <c r="D25" s="57"/>
      <c r="E25" s="56" t="s">
        <v>32</v>
      </c>
      <c r="F25" s="52"/>
      <c r="G25" s="1"/>
    </row>
    <row r="26" spans="1:7" x14ac:dyDescent="0.25">
      <c r="A26" s="1"/>
      <c r="B26" s="25" t="s">
        <v>253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8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8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211</v>
      </c>
      <c r="C32" s="116"/>
      <c r="D32" s="116"/>
      <c r="E32" s="116"/>
      <c r="F32" s="117"/>
      <c r="G32" s="1"/>
    </row>
    <row r="33" spans="1:7" x14ac:dyDescent="0.25">
      <c r="A33" s="1"/>
      <c r="B33" s="56" t="s">
        <v>16</v>
      </c>
      <c r="C33" s="56" t="s">
        <v>11</v>
      </c>
      <c r="D33" s="57"/>
      <c r="E33" s="56" t="s">
        <v>32</v>
      </c>
      <c r="F33" s="52"/>
      <c r="G33" s="1"/>
    </row>
    <row r="34" spans="1:7" x14ac:dyDescent="0.25">
      <c r="A34" s="1"/>
      <c r="B34" s="25" t="s">
        <v>253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8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8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Tq7IJq05c9pX5OKP1gTyvWurIl4QFEGl27YY9qihkcpkrRUuvBeHfatdxz4FXNFri2JlFNzUYXHXn0/Fti6uQ==" saltValue="5QLn7lDKOkA5tvhsaUelF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51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VyWPY9HauOFKIp0WJ3vGaN3NGCe4Q1U0mm4NdTZvfKBHBRmdIs4r5tql+BP1hjRxojBFa5nY0m7OgtkDGVPLiA==" saltValue="ORTYNqfR0kg3Ng11+sPTl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51" t="s">
        <v>17</v>
      </c>
      <c r="C9" s="51" t="s">
        <v>11</v>
      </c>
      <c r="D9" s="52"/>
      <c r="E9" s="51" t="s">
        <v>32</v>
      </c>
      <c r="F9" s="52"/>
      <c r="G9" s="1"/>
    </row>
    <row r="10" spans="1:7" x14ac:dyDescent="0.25">
      <c r="A10" s="1"/>
      <c r="B10" s="25" t="s">
        <v>231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8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8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51" t="s">
        <v>17</v>
      </c>
      <c r="C16" s="51" t="s">
        <v>11</v>
      </c>
      <c r="D16" s="52"/>
      <c r="E16" s="51" t="s">
        <v>32</v>
      </c>
      <c r="F16" s="52"/>
      <c r="G16" s="1"/>
    </row>
    <row r="17" spans="1:7" x14ac:dyDescent="0.25">
      <c r="A17" s="1"/>
      <c r="B17" s="25" t="s">
        <v>231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8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8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51" t="s">
        <v>17</v>
      </c>
      <c r="C23" s="51" t="s">
        <v>11</v>
      </c>
      <c r="D23" s="52"/>
      <c r="E23" s="51" t="s">
        <v>32</v>
      </c>
      <c r="F23" s="52"/>
      <c r="G23" s="1"/>
    </row>
    <row r="24" spans="1:7" x14ac:dyDescent="0.25">
      <c r="A24" s="1"/>
      <c r="B24" s="25" t="s">
        <v>231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8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8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214</v>
      </c>
      <c r="C29" s="116"/>
      <c r="D29" s="116"/>
      <c r="E29" s="116"/>
      <c r="F29" s="117"/>
      <c r="G29" s="1"/>
    </row>
    <row r="30" spans="1:7" ht="26.25" x14ac:dyDescent="0.25">
      <c r="A30" s="1"/>
      <c r="B30" s="51" t="s">
        <v>17</v>
      </c>
      <c r="C30" s="51" t="s">
        <v>11</v>
      </c>
      <c r="D30" s="52"/>
      <c r="E30" s="51" t="s">
        <v>32</v>
      </c>
      <c r="F30" s="52"/>
      <c r="G30" s="1"/>
    </row>
    <row r="31" spans="1:7" x14ac:dyDescent="0.25">
      <c r="A31" s="1"/>
      <c r="B31" s="25" t="s">
        <v>231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8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8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Hi6CB/jfipTxZgGoFNGSglhfpJHjrAJn6yxg7kP5gYSocqtV237sJXfd/Lz80tpFlgAhjalC8/LAMpLl2LNtAA==" saltValue="O6LpQBf74elc+zDO/p6sX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8" t="s">
        <v>14</v>
      </c>
      <c r="C8" s="20"/>
      <c r="D8" s="1"/>
    </row>
    <row r="9" spans="1:4" x14ac:dyDescent="0.25">
      <c r="A9" s="1"/>
      <c r="B9" s="66" t="s">
        <v>118</v>
      </c>
      <c r="C9" s="26">
        <v>1.2699999999999999E-2</v>
      </c>
      <c r="D9" s="1"/>
    </row>
    <row r="10" spans="1:4" x14ac:dyDescent="0.25">
      <c r="A10" s="1"/>
      <c r="B10" s="66" t="s">
        <v>22</v>
      </c>
      <c r="C10" s="26">
        <v>1.7500000000000002E-2</v>
      </c>
      <c r="D10" s="1"/>
    </row>
    <row r="11" spans="1:4" x14ac:dyDescent="0.25">
      <c r="A11" s="1"/>
      <c r="B11" s="66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49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8" t="s">
        <v>106</v>
      </c>
      <c r="C18" s="20"/>
      <c r="D18" s="1"/>
    </row>
    <row r="19" spans="1:4" x14ac:dyDescent="0.25">
      <c r="A19" s="1"/>
      <c r="B19" s="66" t="s">
        <v>120</v>
      </c>
      <c r="C19" s="23">
        <v>9.1000000000000004E-3</v>
      </c>
      <c r="D19" s="1"/>
    </row>
    <row r="20" spans="1:4" x14ac:dyDescent="0.25">
      <c r="A20" s="1"/>
      <c r="B20" s="66" t="s">
        <v>121</v>
      </c>
      <c r="C20" s="23">
        <v>1.77E-2</v>
      </c>
      <c r="D20" s="1"/>
    </row>
    <row r="21" spans="1:4" x14ac:dyDescent="0.25">
      <c r="A21" s="1"/>
      <c r="B21" s="66" t="s">
        <v>122</v>
      </c>
      <c r="C21" s="23">
        <v>8.6999999999999994E-3</v>
      </c>
      <c r="D21" s="1"/>
    </row>
    <row r="22" spans="1:4" x14ac:dyDescent="0.25">
      <c r="A22" s="1"/>
      <c r="B22" s="66" t="s">
        <v>123</v>
      </c>
      <c r="C22" s="35">
        <v>2.8400000000000002E-2</v>
      </c>
      <c r="D22" s="1"/>
    </row>
    <row r="23" spans="1:4" x14ac:dyDescent="0.25">
      <c r="A23" s="1"/>
      <c r="B23" s="66" t="s">
        <v>146</v>
      </c>
      <c r="C23" s="35">
        <v>2.75E-2</v>
      </c>
      <c r="D23" s="1"/>
    </row>
    <row r="24" spans="1:4" x14ac:dyDescent="0.25">
      <c r="A24" s="1"/>
      <c r="B24" s="66" t="s">
        <v>217</v>
      </c>
      <c r="C24" s="35">
        <v>1.4800000000000001E-2</v>
      </c>
      <c r="D24" s="1"/>
    </row>
    <row r="25" spans="1:4" x14ac:dyDescent="0.25">
      <c r="A25" s="1"/>
      <c r="B25" s="5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8" t="s">
        <v>107</v>
      </c>
      <c r="C28" s="20"/>
      <c r="D28" s="1"/>
    </row>
    <row r="29" spans="1:4" x14ac:dyDescent="0.25">
      <c r="A29" s="1"/>
      <c r="B29" s="66" t="s">
        <v>124</v>
      </c>
      <c r="C29" s="26">
        <v>0.02</v>
      </c>
      <c r="D29" s="1"/>
    </row>
    <row r="30" spans="1:4" x14ac:dyDescent="0.25">
      <c r="A30" s="1"/>
      <c r="B30" s="5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GaziN0lAxfeSKOi/Ud3jNHZ7Iilhuv1wP11ba4aszWFkCZitJFQEeXtg/rP6IYGR8KJ8b+2bV5x+SGsmiPPWDg==" saltValue="3fIY56fkSCwhm+UlS+WEKA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183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8" t="s">
        <v>13</v>
      </c>
      <c r="C8" s="59"/>
      <c r="D8" s="20"/>
      <c r="E8" s="1"/>
    </row>
    <row r="9" spans="1:5" x14ac:dyDescent="0.25">
      <c r="A9" s="1"/>
      <c r="B9" s="54" t="s">
        <v>24</v>
      </c>
      <c r="C9" s="7">
        <f>'Fane 3. Omkostninger i ØR2021'!E20</f>
        <v>11390008.680837847</v>
      </c>
      <c r="D9" s="8" t="s">
        <v>3</v>
      </c>
      <c r="E9" s="1"/>
    </row>
    <row r="10" spans="1:5" x14ac:dyDescent="0.25">
      <c r="A10" s="1"/>
      <c r="B10" s="50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7439.8807654437405</v>
      </c>
      <c r="D10" s="8" t="s">
        <v>3</v>
      </c>
      <c r="E10" s="1"/>
    </row>
    <row r="11" spans="1:5" x14ac:dyDescent="0.25">
      <c r="A11" s="1"/>
      <c r="B11" s="50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3196.9896273885311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42277.055400000005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49550.9804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139261.13842436176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-112893.43189547307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-113688.41568566504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-177206.80648125292</v>
      </c>
      <c r="D21" s="8" t="s">
        <v>3</v>
      </c>
      <c r="E21" s="1"/>
    </row>
    <row r="22" spans="1:5" ht="17.100000000000001" customHeight="1" x14ac:dyDescent="0.25">
      <c r="A22" s="1"/>
      <c r="B22" s="67" t="s">
        <v>20</v>
      </c>
      <c r="C22" s="10">
        <f>SUM(C9,C12:C21)</f>
        <v>11217309.200999817</v>
      </c>
      <c r="D22" s="11" t="s">
        <v>3</v>
      </c>
      <c r="E22" s="1"/>
    </row>
    <row r="23" spans="1:5" ht="15" customHeight="1" x14ac:dyDescent="0.25">
      <c r="A23" s="1"/>
      <c r="B23" s="58" t="s">
        <v>12</v>
      </c>
      <c r="C23" s="59"/>
      <c r="D23" s="20"/>
      <c r="E23" s="1"/>
    </row>
    <row r="24" spans="1:5" ht="15" customHeight="1" x14ac:dyDescent="0.25">
      <c r="A24" s="1"/>
      <c r="B24" s="51" t="s">
        <v>12</v>
      </c>
      <c r="C24" s="10">
        <f>'Fane 6. Ikke-påvirkelige omk.'!C16</f>
        <v>7622547.9691784112</v>
      </c>
      <c r="D24" s="11" t="s">
        <v>3</v>
      </c>
      <c r="E24" s="1"/>
    </row>
    <row r="25" spans="1:5" ht="15" customHeight="1" x14ac:dyDescent="0.25">
      <c r="A25" s="1"/>
      <c r="B25" s="58" t="s">
        <v>89</v>
      </c>
      <c r="C25" s="59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7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9"/>
      <c r="D29" s="20"/>
      <c r="E29" s="1"/>
    </row>
    <row r="30" spans="1:5" x14ac:dyDescent="0.25">
      <c r="A30" s="1"/>
      <c r="B30" s="70" t="s">
        <v>162</v>
      </c>
      <c r="C30" s="10">
        <f>'Fane 7. Kontrol af ØR2020'!E30</f>
        <v>-583489.95259366743</v>
      </c>
      <c r="D30" s="11" t="s">
        <v>3</v>
      </c>
      <c r="E30" s="1"/>
    </row>
    <row r="31" spans="1:5" x14ac:dyDescent="0.25">
      <c r="A31" s="1"/>
      <c r="B31" s="36" t="s">
        <v>224</v>
      </c>
      <c r="C31" s="59"/>
      <c r="D31" s="20"/>
      <c r="E31" s="1"/>
    </row>
    <row r="32" spans="1:5" x14ac:dyDescent="0.25">
      <c r="A32" s="1"/>
      <c r="B32" s="70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8" t="s">
        <v>30</v>
      </c>
      <c r="C33" s="31">
        <f>SUM(C22,C24,C28,C30,C32)</f>
        <v>18256367.217584558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NN9e+DmpGy1FGZjY5AyhKpaB9p8DHreGxheXGukvC6RSElzCfRr1lMmoVL4N6oAKHyd32EorIjfXeSYdMQ9aFQ==" saltValue="7V5R+waGOTkYInZJNquOE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8" t="s">
        <v>13</v>
      </c>
      <c r="C8" s="59"/>
      <c r="D8" s="20"/>
      <c r="E8" s="1"/>
    </row>
    <row r="9" spans="1:5" ht="15" customHeight="1" x14ac:dyDescent="0.25">
      <c r="A9" s="1"/>
      <c r="B9" s="54" t="s">
        <v>134</v>
      </c>
      <c r="C9" s="7">
        <f>'Fane 2.1. Økonomisk ramme 2022'!C22</f>
        <v>11217309.200999817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50" t="s">
        <v>18</v>
      </c>
      <c r="C12" s="9">
        <f>SUM(C9:C11)*'Fane 12. Nøgletal'!C14</f>
        <v>37017.120363299393</v>
      </c>
      <c r="D12" s="8" t="s">
        <v>3</v>
      </c>
      <c r="E12" s="1"/>
    </row>
    <row r="13" spans="1:5" ht="15" customHeight="1" x14ac:dyDescent="0.25">
      <c r="A13" s="1"/>
      <c r="B13" s="50" t="s">
        <v>9</v>
      </c>
      <c r="C13" s="9">
        <f>-SUM(C9:C12)*'Fane 5. Individuelt eff. krav'!G10</f>
        <v>-109330.42109586776</v>
      </c>
      <c r="D13" s="8" t="s">
        <v>3</v>
      </c>
      <c r="E13" s="1"/>
    </row>
    <row r="14" spans="1:5" ht="15" customHeight="1" x14ac:dyDescent="0.25">
      <c r="A14" s="1"/>
      <c r="B14" s="50" t="s">
        <v>25</v>
      </c>
      <c r="C14" s="9">
        <f>-'Fane 4.1. Gen. krav - drift'!G44</f>
        <v>-111782.31570827919</v>
      </c>
      <c r="D14" s="8" t="s">
        <v>3</v>
      </c>
      <c r="E14" s="1"/>
    </row>
    <row r="15" spans="1:5" ht="15" customHeight="1" x14ac:dyDescent="0.25">
      <c r="A15" s="1"/>
      <c r="B15" s="50" t="s">
        <v>26</v>
      </c>
      <c r="C15" s="9">
        <f>-'Fane 4.2. Gen. krav - anlæg'!G44</f>
        <v>-93393.80047736608</v>
      </c>
      <c r="D15" s="8" t="s">
        <v>3</v>
      </c>
      <c r="E15" s="1"/>
    </row>
    <row r="16" spans="1:5" ht="15" customHeight="1" x14ac:dyDescent="0.25">
      <c r="A16" s="1"/>
      <c r="B16" s="55" t="s">
        <v>20</v>
      </c>
      <c r="C16" s="10">
        <f>SUM(C9:C15)</f>
        <v>10939819.784081601</v>
      </c>
      <c r="D16" s="11" t="s">
        <v>3</v>
      </c>
      <c r="E16" s="1"/>
    </row>
    <row r="17" spans="1:5" x14ac:dyDescent="0.25">
      <c r="A17" s="1"/>
      <c r="B17" s="58" t="s">
        <v>12</v>
      </c>
      <c r="C17" s="59"/>
      <c r="D17" s="20"/>
      <c r="E17" s="1"/>
    </row>
    <row r="18" spans="1:5" ht="15" customHeight="1" x14ac:dyDescent="0.25">
      <c r="A18" s="1"/>
      <c r="B18" s="51" t="s">
        <v>12</v>
      </c>
      <c r="C18" s="10">
        <f>'Fane 6. Ikke-påvirkelige omk.'!C16*(1+'Fane 12. Nøgletal'!C14)</f>
        <v>7647702.3774767006</v>
      </c>
      <c r="D18" s="11" t="s">
        <v>3</v>
      </c>
      <c r="E18" s="1"/>
    </row>
    <row r="19" spans="1:5" ht="15" customHeight="1" x14ac:dyDescent="0.25">
      <c r="A19" s="1"/>
      <c r="B19" s="58" t="s">
        <v>89</v>
      </c>
      <c r="C19" s="59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7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9"/>
      <c r="D23" s="20"/>
      <c r="E23" s="1"/>
    </row>
    <row r="24" spans="1:5" ht="15" customHeight="1" x14ac:dyDescent="0.25">
      <c r="A24" s="1"/>
      <c r="B24" s="70" t="s">
        <v>162</v>
      </c>
      <c r="C24" s="10">
        <f>'Fane 7. Kontrol af ØR2020'!E37</f>
        <v>-154699.22107320093</v>
      </c>
      <c r="D24" s="11" t="s">
        <v>3</v>
      </c>
      <c r="E24" s="1"/>
    </row>
    <row r="25" spans="1:5" x14ac:dyDescent="0.25">
      <c r="A25" s="1"/>
      <c r="B25" s="36" t="s">
        <v>224</v>
      </c>
      <c r="C25" s="59"/>
      <c r="D25" s="20"/>
      <c r="E25" s="1"/>
    </row>
    <row r="26" spans="1:5" x14ac:dyDescent="0.25">
      <c r="A26" s="1"/>
      <c r="B26" s="70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8" t="s">
        <v>97</v>
      </c>
      <c r="C27" s="12">
        <f>SUM(C16,C18,C22,C24,C26)</f>
        <v>18432822.940485097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eA8dLTFeqVhY2l7/JWn4tTsEp+qT6qYpGRdjI29/lR0HdKNc1lvN5OLtNCKrO54t8rdVmVg20iRL08xnAV33Wg==" saltValue="dEEKN5PSuYkrNeobe2AFz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8" t="s">
        <v>13</v>
      </c>
      <c r="C7" s="59"/>
      <c r="D7" s="20"/>
      <c r="E7" s="1"/>
    </row>
    <row r="8" spans="1:5" ht="15" customHeight="1" x14ac:dyDescent="0.25">
      <c r="A8" s="1"/>
      <c r="B8" s="54" t="s">
        <v>135</v>
      </c>
      <c r="C8" s="7">
        <f>'Fane 2.2. Økonomisk ramme 2023'!C16</f>
        <v>10939819.784081601</v>
      </c>
      <c r="D8" s="8" t="s">
        <v>3</v>
      </c>
      <c r="E8" s="1"/>
    </row>
    <row r="9" spans="1:5" ht="15" customHeight="1" x14ac:dyDescent="0.25">
      <c r="A9" s="1"/>
      <c r="B9" s="54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4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36101.405287469279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-106625.84781026987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drift'!G50</f>
        <v>-109908.17340311418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43">
        <f>-'Fane 4.2. Gen. krav - anlæg'!G54</f>
        <v>-92315.210418661052</v>
      </c>
      <c r="D14" s="8" t="s">
        <v>3</v>
      </c>
      <c r="E14" s="1"/>
    </row>
    <row r="15" spans="1:5" x14ac:dyDescent="0.25">
      <c r="A15" s="1"/>
      <c r="B15" s="55" t="s">
        <v>20</v>
      </c>
      <c r="C15" s="10">
        <f>SUM(C8:C14)</f>
        <v>10667071.957737025</v>
      </c>
      <c r="D15" s="11" t="s">
        <v>3</v>
      </c>
      <c r="E15" s="1"/>
    </row>
    <row r="16" spans="1:5" x14ac:dyDescent="0.25">
      <c r="A16" s="1"/>
      <c r="B16" s="58" t="s">
        <v>12</v>
      </c>
      <c r="C16" s="59"/>
      <c r="D16" s="20"/>
      <c r="E16" s="1"/>
    </row>
    <row r="17" spans="1:5" ht="15" customHeight="1" x14ac:dyDescent="0.25">
      <c r="A17" s="1"/>
      <c r="B17" s="51" t="s">
        <v>12</v>
      </c>
      <c r="C17" s="10">
        <f>'Fane 6. Ikke-påvirkelige omk.'!C16*(1+'Fane 12. Nøgletal'!C14)^2</f>
        <v>7672939.7953223744</v>
      </c>
      <c r="D17" s="11" t="s">
        <v>3</v>
      </c>
      <c r="E17" s="1"/>
    </row>
    <row r="18" spans="1:5" ht="15" customHeight="1" x14ac:dyDescent="0.25">
      <c r="A18" s="1"/>
      <c r="B18" s="58" t="s">
        <v>89</v>
      </c>
      <c r="C18" s="59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8" t="s">
        <v>161</v>
      </c>
      <c r="C22" s="59"/>
      <c r="D22" s="20"/>
      <c r="E22" s="1"/>
    </row>
    <row r="23" spans="1:5" x14ac:dyDescent="0.25">
      <c r="A23" s="1"/>
      <c r="B23" s="51" t="s">
        <v>162</v>
      </c>
      <c r="C23" s="10">
        <f>'Fane 7. Kontrol af ØR2020'!E37</f>
        <v>-154699.22107320093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9"/>
      <c r="D24" s="20"/>
      <c r="E24" s="1"/>
    </row>
    <row r="25" spans="1:5" ht="15" customHeight="1" x14ac:dyDescent="0.25">
      <c r="A25" s="1"/>
      <c r="B25" s="70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8" t="s">
        <v>186</v>
      </c>
      <c r="C26" s="12">
        <f>SUM(C15,C17,C21,C23,C25)</f>
        <v>18185312.531986199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+gIhaVQRMakYk1cXyQfvrJ08ob08uSdI/V9fM3ocgkdSl+NDEczxHAJoPcNfWwn5gz1rjnkFksjlq3VjDau0NQ==" saltValue="h3PwlFsiGtq8CccbAtze1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187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8" t="s">
        <v>13</v>
      </c>
      <c r="C7" s="59"/>
      <c r="D7" s="20"/>
      <c r="E7" s="1"/>
    </row>
    <row r="8" spans="1:5" ht="15" customHeight="1" x14ac:dyDescent="0.25">
      <c r="A8" s="1"/>
      <c r="B8" s="54" t="s">
        <v>188</v>
      </c>
      <c r="C8" s="7">
        <f>'Fane 2.3. Økonomisk ramme 2024'!C15</f>
        <v>10667071.957737025</v>
      </c>
      <c r="D8" s="8" t="s">
        <v>3</v>
      </c>
      <c r="E8" s="1"/>
    </row>
    <row r="9" spans="1:5" ht="15" customHeight="1" x14ac:dyDescent="0.25">
      <c r="A9" s="1"/>
      <c r="B9" s="54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4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35201.337460532181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-103967.48882480328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drift'!G56</f>
        <v>-108065.45296783757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9">
        <f>-'Fane 4.2. Gen. krav - anlæg'!G60</f>
        <v>-91249.076823969619</v>
      </c>
      <c r="D14" s="8" t="s">
        <v>3</v>
      </c>
      <c r="E14" s="1"/>
    </row>
    <row r="15" spans="1:5" x14ac:dyDescent="0.25">
      <c r="A15" s="1"/>
      <c r="B15" s="55" t="s">
        <v>20</v>
      </c>
      <c r="C15" s="10">
        <f>SUM(C8:C14)</f>
        <v>10398991.276580947</v>
      </c>
      <c r="D15" s="11" t="s">
        <v>3</v>
      </c>
      <c r="E15" s="1"/>
    </row>
    <row r="16" spans="1:5" x14ac:dyDescent="0.25">
      <c r="A16" s="1"/>
      <c r="B16" s="58" t="s">
        <v>12</v>
      </c>
      <c r="C16" s="59"/>
      <c r="D16" s="20"/>
      <c r="E16" s="1"/>
    </row>
    <row r="17" spans="1:5" ht="15" customHeight="1" x14ac:dyDescent="0.25">
      <c r="A17" s="1"/>
      <c r="B17" s="51" t="s">
        <v>12</v>
      </c>
      <c r="C17" s="10">
        <f>'Fane 6. Ikke-påvirkelige omk.'!C16*(1+'Fane 12. Nøgletal'!C14)^3</f>
        <v>7698260.4966469388</v>
      </c>
      <c r="D17" s="11" t="s">
        <v>3</v>
      </c>
      <c r="E17" s="1"/>
    </row>
    <row r="18" spans="1:5" ht="15" customHeight="1" x14ac:dyDescent="0.25">
      <c r="A18" s="1"/>
      <c r="B18" s="58" t="s">
        <v>89</v>
      </c>
      <c r="C18" s="59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8" t="s">
        <v>161</v>
      </c>
      <c r="C22" s="59"/>
      <c r="D22" s="20"/>
      <c r="E22" s="1"/>
    </row>
    <row r="23" spans="1:5" x14ac:dyDescent="0.25">
      <c r="A23" s="1"/>
      <c r="B23" s="51" t="s">
        <v>162</v>
      </c>
      <c r="C23" s="10">
        <f>'Fane 7. Kontrol af ØR2020'!E37</f>
        <v>-154699.22107320093</v>
      </c>
      <c r="D23" s="11" t="s">
        <v>3</v>
      </c>
      <c r="E23" s="1"/>
    </row>
    <row r="24" spans="1:5" x14ac:dyDescent="0.25">
      <c r="A24" s="1"/>
      <c r="B24" s="36" t="s">
        <v>224</v>
      </c>
      <c r="C24" s="59"/>
      <c r="D24" s="20"/>
      <c r="E24" s="1"/>
    </row>
    <row r="25" spans="1:5" x14ac:dyDescent="0.25">
      <c r="A25" s="1"/>
      <c r="B25" s="70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8" t="s">
        <v>189</v>
      </c>
      <c r="C26" s="12">
        <f>SUM(C15,C17,C21,C23,C25)</f>
        <v>17942552.552154683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mf9WuTSPVrGhTFhIk9UBTmnL5bBlR6SuRqnIVjyji+2M4h7iUWLe14hFrPFHh808vgjkrEiuDZlokhqRO00CA==" saltValue="zS+/GaM0MixLi5Qa/xG0m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190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8" t="s">
        <v>223</v>
      </c>
      <c r="C8" s="59"/>
      <c r="D8" s="59"/>
      <c r="E8" s="59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11644594.066073773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7575.3047999999999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3280.5401999999999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142196.48891510005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-114608.51694006215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-113755.13056225138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-179274.07164871364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11390008.680837847</v>
      </c>
      <c r="F20" s="11" t="s">
        <v>3</v>
      </c>
      <c r="G20" s="1"/>
    </row>
    <row r="21" spans="1:7" x14ac:dyDescent="0.25">
      <c r="A21" s="1"/>
      <c r="B21" s="58" t="s">
        <v>12</v>
      </c>
      <c r="C21" s="59"/>
      <c r="D21" s="59"/>
      <c r="E21" s="59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8304207.0680797203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9"/>
      <c r="F23" s="59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8" t="s">
        <v>161</v>
      </c>
      <c r="C27" s="59"/>
      <c r="D27" s="59"/>
      <c r="E27" s="59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-583489.95259366743</v>
      </c>
      <c r="F28" s="11" t="s">
        <v>3</v>
      </c>
      <c r="G28" s="1"/>
    </row>
    <row r="29" spans="1:7" x14ac:dyDescent="0.25">
      <c r="A29" s="1"/>
      <c r="B29" s="58" t="s">
        <v>245</v>
      </c>
      <c r="C29" s="59"/>
      <c r="D29" s="59"/>
      <c r="E29" s="59"/>
      <c r="F29" s="20"/>
      <c r="G29" s="1"/>
    </row>
    <row r="30" spans="1:7" ht="15.6" customHeight="1" x14ac:dyDescent="0.25">
      <c r="A30" s="1"/>
      <c r="B30" s="105" t="s">
        <v>246</v>
      </c>
      <c r="C30" s="106"/>
      <c r="D30" s="107"/>
      <c r="E30" s="10">
        <v>0</v>
      </c>
      <c r="F30" s="11" t="s">
        <v>3</v>
      </c>
      <c r="G30" s="1"/>
    </row>
    <row r="31" spans="1:7" x14ac:dyDescent="0.25">
      <c r="A31" s="1"/>
      <c r="B31" s="58" t="s">
        <v>29</v>
      </c>
      <c r="C31" s="59"/>
      <c r="D31" s="59"/>
      <c r="E31" s="12">
        <f>E20+E22+E26+E28+E30</f>
        <v>19110725.796323903</v>
      </c>
      <c r="F31" s="13" t="s">
        <v>3</v>
      </c>
      <c r="G31" s="1"/>
    </row>
    <row r="32" spans="1:7" ht="27.75" customHeight="1" x14ac:dyDescent="0.25">
      <c r="A32" s="1"/>
      <c r="B32" s="91" t="s">
        <v>191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oySb83gJsOXwJ0Oaz6danVE7tYslXs6paFdJ3DrrELG2fTy9UbqOrkIVQlhFcHvHmir1lkFGQqzyDvdjEyQyrw==" saltValue="VuuMUiVzPmYbE6/ZuPoh4Q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5809612.7580742743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116192.25516148549</v>
      </c>
      <c r="H6" s="14" t="s">
        <v>3</v>
      </c>
      <c r="I6" s="1"/>
    </row>
    <row r="7" spans="1:9" x14ac:dyDescent="0.25">
      <c r="A7" s="1"/>
      <c r="B7" s="58"/>
      <c r="C7" s="59"/>
      <c r="D7" s="59"/>
      <c r="E7" s="59"/>
      <c r="F7" s="59"/>
      <c r="G7" s="59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5765726.9432997806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42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115314.53886599561</v>
      </c>
      <c r="H12" s="14" t="s">
        <v>3</v>
      </c>
      <c r="I12" s="1"/>
    </row>
    <row r="13" spans="1:9" x14ac:dyDescent="0.25">
      <c r="A13" s="1"/>
      <c r="B13" s="58"/>
      <c r="C13" s="59"/>
      <c r="D13" s="59"/>
      <c r="E13" s="59"/>
      <c r="F13" s="59"/>
      <c r="G13" s="59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5745904.3740687156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42">
        <v>0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42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114918.08748137431</v>
      </c>
      <c r="H19" s="14" t="s">
        <v>3</v>
      </c>
      <c r="I19" s="1"/>
    </row>
    <row r="20" spans="1:9" x14ac:dyDescent="0.25">
      <c r="A20" s="1"/>
      <c r="B20" s="58"/>
      <c r="C20" s="59"/>
      <c r="D20" s="59"/>
      <c r="E20" s="59"/>
      <c r="F20" s="59"/>
      <c r="G20" s="59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5726149.954830667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42">
        <v>0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114522.99909661335</v>
      </c>
      <c r="H25" s="14" t="s">
        <v>3</v>
      </c>
      <c r="I25" s="1"/>
    </row>
    <row r="26" spans="1:9" x14ac:dyDescent="0.25">
      <c r="A26" s="1"/>
      <c r="B26" s="58"/>
      <c r="C26" s="59"/>
      <c r="D26" s="59"/>
      <c r="E26" s="59"/>
      <c r="F26" s="59"/>
      <c r="G26" s="59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5680088.8045940092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24">
        <f>SUM('Fane 3. Omkostninger i ØR2021'!E10,'Fane 3. Omkostninger i ØR2021'!E12,'Fane 3. Omkostninger i ØR2021'!E14)*(1+'Fane 12. Nøgletal'!C13)</f>
        <v>7667.7235185600002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113755.13056225138</v>
      </c>
      <c r="H31" s="14" t="s">
        <v>3</v>
      </c>
      <c r="I31" s="1"/>
    </row>
    <row r="32" spans="1:9" x14ac:dyDescent="0.25">
      <c r="A32" s="1"/>
      <c r="B32" s="58"/>
      <c r="C32" s="59"/>
      <c r="D32" s="59"/>
      <c r="E32" s="59"/>
      <c r="F32" s="59"/>
      <c r="G32" s="59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5642004.2146004317</v>
      </c>
      <c r="H35" s="14" t="s">
        <v>3</v>
      </c>
      <c r="I35" s="1"/>
    </row>
    <row r="36" spans="1:9" x14ac:dyDescent="0.25">
      <c r="A36" s="1"/>
      <c r="B36" s="37" t="s">
        <v>192</v>
      </c>
      <c r="C36" s="64"/>
      <c r="D36" s="64"/>
      <c r="E36" s="64"/>
      <c r="F36" s="65"/>
      <c r="G36" s="24">
        <f>SUM('Fane 2.1. Økonomisk ramme 2022'!C10)*(1+'Fane 12. Nøgletal'!C14)</f>
        <v>7464.4323719697059</v>
      </c>
      <c r="H36" s="14" t="s">
        <v>3</v>
      </c>
      <c r="I36" s="1"/>
    </row>
    <row r="37" spans="1:9" x14ac:dyDescent="0.25">
      <c r="A37" s="1"/>
      <c r="B37" s="112" t="s">
        <v>221</v>
      </c>
      <c r="C37" s="113"/>
      <c r="D37" s="113"/>
      <c r="E37" s="113"/>
      <c r="F37" s="114"/>
      <c r="G37" s="24">
        <f>SUM('Fane 2.1. Økonomisk ramme 2022'!C12,'Fane 2.1. Økonomisk ramme 2022'!C14,'Fane 2.1. Økonomisk ramme 2022'!C16)*(1+'Fane 12. Nøgletal'!C14)</f>
        <v>42416.569682820009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113688.41568566504</v>
      </c>
      <c r="H38" s="14" t="s">
        <v>3</v>
      </c>
      <c r="I38" s="1"/>
    </row>
    <row r="39" spans="1:9" x14ac:dyDescent="0.25">
      <c r="A39" s="1"/>
      <c r="B39" s="58"/>
      <c r="C39" s="59"/>
      <c r="D39" s="59"/>
      <c r="E39" s="59"/>
      <c r="F39" s="59"/>
      <c r="G39" s="59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5589115.7854139591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42"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111782.31570827919</v>
      </c>
      <c r="H44" s="14" t="s">
        <v>3</v>
      </c>
      <c r="I44" s="1"/>
    </row>
    <row r="45" spans="1:9" x14ac:dyDescent="0.25">
      <c r="A45" s="1"/>
      <c r="B45" s="58"/>
      <c r="C45" s="59"/>
      <c r="D45" s="59"/>
      <c r="E45" s="59"/>
      <c r="F45" s="59"/>
      <c r="G45" s="59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5495408.6701557087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42"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109908.17340311418</v>
      </c>
      <c r="H50" s="14" t="s">
        <v>3</v>
      </c>
      <c r="I50" s="1"/>
    </row>
    <row r="51" spans="1:9" x14ac:dyDescent="0.25">
      <c r="A51" s="1"/>
      <c r="B51" s="58"/>
      <c r="C51" s="59"/>
      <c r="D51" s="59"/>
      <c r="E51" s="59"/>
      <c r="F51" s="59"/>
      <c r="G51" s="59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198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199</v>
      </c>
      <c r="C54" s="113"/>
      <c r="D54" s="113"/>
      <c r="E54" s="113"/>
      <c r="F54" s="114"/>
      <c r="G54" s="24">
        <f>(G48+G49-G50)*(1+'Fane 12. Nøgletal'!C14)</f>
        <v>5403272.6483918782</v>
      </c>
      <c r="H54" s="14" t="s">
        <v>3</v>
      </c>
      <c r="I54" s="1"/>
    </row>
    <row r="55" spans="1:9" x14ac:dyDescent="0.25">
      <c r="A55" s="1"/>
      <c r="B55" s="112" t="s">
        <v>200</v>
      </c>
      <c r="C55" s="113"/>
      <c r="D55" s="113"/>
      <c r="E55" s="113"/>
      <c r="F55" s="114"/>
      <c r="G55" s="42">
        <v>0</v>
      </c>
      <c r="H55" s="14" t="s">
        <v>3</v>
      </c>
      <c r="I55" s="1"/>
    </row>
    <row r="56" spans="1:9" x14ac:dyDescent="0.25">
      <c r="A56" s="1"/>
      <c r="B56" s="112" t="s">
        <v>201</v>
      </c>
      <c r="C56" s="113"/>
      <c r="D56" s="113"/>
      <c r="E56" s="113"/>
      <c r="F56" s="114"/>
      <c r="G56" s="24">
        <f>(G54+G55)*'Fane 12. Nøgletal'!C29</f>
        <v>108065.45296783757</v>
      </c>
      <c r="H56" s="14" t="s">
        <v>3</v>
      </c>
      <c r="I56" s="1"/>
    </row>
    <row r="57" spans="1:9" x14ac:dyDescent="0.25">
      <c r="A57" s="1"/>
      <c r="B57" s="58"/>
      <c r="C57" s="59"/>
      <c r="D57" s="59"/>
      <c r="E57" s="59"/>
      <c r="F57" s="59"/>
      <c r="G57" s="59"/>
      <c r="H57" s="20"/>
      <c r="I57" s="1"/>
    </row>
  </sheetData>
  <sheetProtection algorithmName="SHA-512" hashValue="F1DeIpBYbC8XevNpFp+8CNdnSu38/irzZJiAzTXRmJXYopqZC33HLQmxquBFPOWuJQLoIMIzzTJe9/ZqIH7O8w==" saltValue="AzGCGNokT1yMcf0t2mwVrg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61"/>
  <sheetViews>
    <sheetView showGridLines="0" view="pageLayout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6341180.5936294496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57704.743402027991</v>
      </c>
      <c r="H6" s="14" t="s">
        <v>3</v>
      </c>
      <c r="I6" s="1"/>
    </row>
    <row r="7" spans="1:9" x14ac:dyDescent="0.25">
      <c r="A7" s="1"/>
      <c r="B7" s="58"/>
      <c r="C7" s="59"/>
      <c r="D7" s="59"/>
      <c r="E7" s="59"/>
      <c r="F7" s="59"/>
      <c r="G7" s="59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6363275.9935253086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42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57905.811541080308</v>
      </c>
      <c r="H12" s="14" t="s">
        <v>3</v>
      </c>
      <c r="I12" s="1"/>
    </row>
    <row r="13" spans="1:9" x14ac:dyDescent="0.25">
      <c r="A13" s="1"/>
      <c r="B13" s="58"/>
      <c r="C13" s="59"/>
      <c r="D13" s="59"/>
      <c r="E13" s="59"/>
      <c r="F13" s="59"/>
      <c r="G13" s="59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6411930.9380597612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-61907.125693653754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42">
        <v>0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55245.207167585133</v>
      </c>
      <c r="H19" s="14" t="s">
        <v>3</v>
      </c>
      <c r="I19" s="1"/>
    </row>
    <row r="20" spans="1:9" x14ac:dyDescent="0.25">
      <c r="A20" s="1"/>
      <c r="B20" s="58"/>
      <c r="C20" s="59"/>
      <c r="D20" s="59"/>
      <c r="E20" s="59"/>
      <c r="F20" s="59"/>
      <c r="G20" s="59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6401160.3636263767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94413.798360090004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58371.447036976024</v>
      </c>
      <c r="H25" s="14" t="s">
        <v>3</v>
      </c>
      <c r="I25" s="1"/>
    </row>
    <row r="26" spans="1:9" x14ac:dyDescent="0.25">
      <c r="A26" s="1"/>
      <c r="B26" s="58"/>
      <c r="C26" s="59"/>
      <c r="D26" s="59"/>
      <c r="E26" s="59"/>
      <c r="F26" s="59"/>
      <c r="G26" s="59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6515736.5880718743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24">
        <v>3320.5627904399998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179274.07164871367</v>
      </c>
      <c r="H31" s="14" t="s">
        <v>3</v>
      </c>
      <c r="I31" s="1"/>
    </row>
    <row r="32" spans="1:9" x14ac:dyDescent="0.25">
      <c r="A32" s="1"/>
      <c r="B32" s="58"/>
      <c r="C32" s="59"/>
      <c r="D32" s="59"/>
      <c r="E32" s="59"/>
      <c r="F32" s="59"/>
      <c r="G32" s="59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6417128.4327800069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3207.5396931589135</v>
      </c>
      <c r="H36" s="14" t="s">
        <v>3</v>
      </c>
      <c r="I36" s="38"/>
    </row>
    <row r="37" spans="1:9" x14ac:dyDescent="0.25">
      <c r="A37" s="1"/>
      <c r="B37" s="112" t="s">
        <v>193</v>
      </c>
      <c r="C37" s="113"/>
      <c r="D37" s="113"/>
      <c r="E37" s="113"/>
      <c r="F37" s="114"/>
      <c r="G37" s="24">
        <f>SUM('Fane 2.1. Økonomisk ramme 2022'!C13,'Fane 2.1. Økonomisk ramme 2022'!C15,'Fane 2.1. Økonomisk ramme 2022'!C17)*(1+'Fane 12. Nøgletal'!C14)</f>
        <v>49714.498635320007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177206.80648125292</v>
      </c>
      <c r="H38" s="14" t="s">
        <v>3</v>
      </c>
      <c r="I38" s="1"/>
    </row>
    <row r="39" spans="1:9" x14ac:dyDescent="0.25">
      <c r="A39" s="1"/>
      <c r="B39" s="58"/>
      <c r="C39" s="59"/>
      <c r="D39" s="59"/>
      <c r="E39" s="59"/>
      <c r="F39" s="59"/>
      <c r="G39" s="59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6310391.9241463561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42"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93393.80047736608</v>
      </c>
      <c r="H44" s="14" t="s">
        <v>3</v>
      </c>
      <c r="I44" s="1"/>
    </row>
    <row r="45" spans="1:9" x14ac:dyDescent="0.25">
      <c r="A45" s="1"/>
      <c r="B45" s="58"/>
      <c r="C45" s="59"/>
      <c r="D45" s="59"/>
      <c r="E45" s="59"/>
      <c r="F45" s="59"/>
      <c r="G45" s="59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5" t="s">
        <v>153</v>
      </c>
      <c r="C51" s="116"/>
      <c r="D51" s="116"/>
      <c r="E51" s="116"/>
      <c r="F51" s="116"/>
      <c r="G51" s="116"/>
      <c r="H51" s="117"/>
      <c r="I51" s="1"/>
    </row>
    <row r="52" spans="1:9" x14ac:dyDescent="0.25">
      <c r="A52" s="1"/>
      <c r="B52" s="112" t="s">
        <v>154</v>
      </c>
      <c r="C52" s="113"/>
      <c r="D52" s="113"/>
      <c r="E52" s="113"/>
      <c r="F52" s="114"/>
      <c r="G52" s="24">
        <f>(G42+G43-G44)*(1+'Fane 12. Nøgletal'!C14)</f>
        <v>6237514.2174770981</v>
      </c>
      <c r="H52" s="14" t="s">
        <v>3</v>
      </c>
      <c r="I52" s="1"/>
    </row>
    <row r="53" spans="1:9" x14ac:dyDescent="0.25">
      <c r="A53" s="1"/>
      <c r="B53" s="112" t="s">
        <v>155</v>
      </c>
      <c r="C53" s="113"/>
      <c r="D53" s="113"/>
      <c r="E53" s="113"/>
      <c r="F53" s="114"/>
      <c r="G53" s="42">
        <v>0</v>
      </c>
      <c r="H53" s="14" t="s">
        <v>3</v>
      </c>
      <c r="I53" s="1"/>
    </row>
    <row r="54" spans="1:9" x14ac:dyDescent="0.25">
      <c r="A54" s="1"/>
      <c r="B54" s="112" t="s">
        <v>156</v>
      </c>
      <c r="C54" s="113"/>
      <c r="D54" s="113"/>
      <c r="E54" s="113"/>
      <c r="F54" s="114"/>
      <c r="G54" s="24">
        <f>(G52+G53)*'Fane 12. Nøgletal'!C24</f>
        <v>92315.210418661052</v>
      </c>
      <c r="H54" s="14" t="s">
        <v>3</v>
      </c>
      <c r="I54" s="1"/>
    </row>
    <row r="55" spans="1:9" x14ac:dyDescent="0.25">
      <c r="A55" s="1"/>
      <c r="B55" s="58"/>
      <c r="C55" s="59"/>
      <c r="D55" s="59"/>
      <c r="E55" s="59"/>
      <c r="F55" s="59"/>
      <c r="G55" s="59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5" t="s">
        <v>194</v>
      </c>
      <c r="C57" s="116"/>
      <c r="D57" s="116"/>
      <c r="E57" s="116"/>
      <c r="F57" s="116"/>
      <c r="G57" s="116"/>
      <c r="H57" s="117"/>
      <c r="I57" s="1"/>
    </row>
    <row r="58" spans="1:9" x14ac:dyDescent="0.25">
      <c r="A58" s="1"/>
      <c r="B58" s="112" t="s">
        <v>195</v>
      </c>
      <c r="C58" s="113"/>
      <c r="D58" s="113"/>
      <c r="E58" s="113"/>
      <c r="F58" s="114"/>
      <c r="G58" s="24">
        <f>(G52+G53-G54)*(1+'Fane 12. Nøgletal'!C14)</f>
        <v>6165478.1637817305</v>
      </c>
      <c r="H58" s="14" t="s">
        <v>3</v>
      </c>
      <c r="I58" s="1"/>
    </row>
    <row r="59" spans="1:9" x14ac:dyDescent="0.25">
      <c r="A59" s="1"/>
      <c r="B59" s="112" t="s">
        <v>196</v>
      </c>
      <c r="C59" s="113"/>
      <c r="D59" s="113"/>
      <c r="E59" s="113"/>
      <c r="F59" s="114"/>
      <c r="G59" s="42">
        <v>0</v>
      </c>
      <c r="H59" s="14" t="s">
        <v>3</v>
      </c>
      <c r="I59" s="1"/>
    </row>
    <row r="60" spans="1:9" x14ac:dyDescent="0.25">
      <c r="A60" s="1"/>
      <c r="B60" s="112" t="s">
        <v>197</v>
      </c>
      <c r="C60" s="113"/>
      <c r="D60" s="113"/>
      <c r="E60" s="113"/>
      <c r="F60" s="114"/>
      <c r="G60" s="24">
        <f>(G58+G59)*'Fane 12. Nøgletal'!C24</f>
        <v>91249.076823969619</v>
      </c>
      <c r="H60" s="14" t="s">
        <v>3</v>
      </c>
      <c r="I60" s="1"/>
    </row>
    <row r="61" spans="1:9" x14ac:dyDescent="0.25">
      <c r="A61" s="1"/>
      <c r="B61" s="58"/>
      <c r="C61" s="59"/>
      <c r="D61" s="59"/>
      <c r="E61" s="59"/>
      <c r="F61" s="59"/>
      <c r="G61" s="59"/>
      <c r="H61" s="20"/>
      <c r="I61" s="1"/>
    </row>
  </sheetData>
  <sheetProtection algorithmName="SHA-512" hashValue="/ZCNETneOrkxR9XJwlaV3Imy32JHXUoWXOcs2BrdCcnz+Gzk81ygQk35Epk0Mc8hDu2PWS7C/KFJHVhQ3XvB2g==" saltValue="EI3SGFaz6kSElo6mkZGhyg==" spinCount="100000" sheet="1" objects="1" scenarios="1"/>
  <mergeCells count="37">
    <mergeCell ref="B1:H3"/>
    <mergeCell ref="B57:H57"/>
    <mergeCell ref="B58:F58"/>
    <mergeCell ref="B59:F59"/>
    <mergeCell ref="B60:F60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51:H51"/>
    <mergeCell ref="B28:H28"/>
    <mergeCell ref="B29:F29"/>
    <mergeCell ref="B31:F31"/>
    <mergeCell ref="B34:H34"/>
    <mergeCell ref="B22:H22"/>
    <mergeCell ref="B23:F23"/>
    <mergeCell ref="B24:F24"/>
    <mergeCell ref="B25:F25"/>
    <mergeCell ref="B52:F52"/>
    <mergeCell ref="B53:F53"/>
    <mergeCell ref="B54:F54"/>
    <mergeCell ref="B37:F37"/>
    <mergeCell ref="B43:F43"/>
    <mergeCell ref="B42:F42"/>
    <mergeCell ref="B41:H41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4.3902199664264899E-3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9.7145238172395322E-3</v>
      </c>
      <c r="H10" s="14"/>
      <c r="I10" s="1"/>
    </row>
    <row r="11" spans="1:9" x14ac:dyDescent="0.25">
      <c r="A11" s="1"/>
      <c r="B11" s="58"/>
      <c r="C11" s="59"/>
      <c r="D11" s="59"/>
      <c r="E11" s="59"/>
      <c r="F11" s="59"/>
      <c r="G11" s="59"/>
      <c r="H11" s="20"/>
      <c r="I11" s="1"/>
    </row>
    <row r="12" spans="1:9" ht="14.25" customHeight="1" x14ac:dyDescent="0.25">
      <c r="A12" s="1"/>
      <c r="B12" s="124" t="s">
        <v>191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k/qCroEuL8vX/N7wJ8XBJm57MvdoKQwn8OFBDf5HmKfduIAbYgxRKORVIdlBPwUqPQA6N79hkwN+KqSP/XX06Q==" saltValue="2Vxp22hsVpnxO+Xhpjgfe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Ingeborg Knuhtsen</cp:lastModifiedBy>
  <cp:lastPrinted>2016-06-14T12:57:30Z</cp:lastPrinted>
  <dcterms:created xsi:type="dcterms:W3CDTF">2016-06-02T08:51:18Z</dcterms:created>
  <dcterms:modified xsi:type="dcterms:W3CDTF">2022-09-02T10:24:40Z</dcterms:modified>
</cp:coreProperties>
</file>