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erning Vand AS (V080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C30" i="2" s="1"/>
  <c r="E37" i="32" l="1"/>
  <c r="C14" i="19"/>
  <c r="C23" i="23" l="1"/>
  <c r="C23" i="22"/>
  <c r="C24" i="15"/>
  <c r="E11" i="11"/>
  <c r="E12" i="11"/>
  <c r="E13" i="11"/>
  <c r="E14" i="11"/>
  <c r="C11" i="29" l="1"/>
  <c r="C12" i="29" s="1"/>
  <c r="G30" i="30"/>
  <c r="C11" i="2" l="1"/>
  <c r="G36" i="36" s="1"/>
  <c r="C10" i="2"/>
  <c r="G36" i="30" s="1"/>
  <c r="E15" i="11" l="1"/>
  <c r="E16" i="11"/>
  <c r="E10" i="1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7" i="11"/>
  <c r="G17" i="11"/>
  <c r="C10" i="37" l="1"/>
  <c r="C11" i="37" s="1"/>
  <c r="C12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8" i="15"/>
  <c r="G37" i="30"/>
  <c r="G38" i="30" s="1"/>
  <c r="E17" i="11"/>
  <c r="E10" i="37" l="1"/>
  <c r="E11" i="37" s="1"/>
  <c r="E12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<sst xmlns="http://schemas.openxmlformats.org/spreadsheetml/2006/main" count="636" uniqueCount="260">
  <si>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</si>
  <si>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</si>
  <si>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</si>
  <si>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</si>
  <si>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</si>
  <si>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</si>
  <si>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</si>
  <si>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</si>
  <si>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</si>
  <si>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</si>
  <si>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</si>
  <si>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</si>
  <si>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</si>
  <si>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</si>
  <si>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</si>
  <si>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</si>
  <si>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</si>
  <si>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</si>
  <si>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</si>
  <si>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</si>
  <si>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</si>
  <si>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</si>
  <si>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</si>
  <si>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</si>
  <si>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</si>
  <si>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</si>
  <si>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</si>
  <si>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</si>
  <si>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</si>
  <si>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</si>
  <si>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</si>
  <si>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</si>
  <si>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</si>
  <si>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</si>
  <si>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</si>
  <si>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</si>
  <si>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</si>
  <si>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</si>
  <si>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</si>
  <si>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</si>
  <si>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</si>
  <si>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</si>
  <si>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</si>
  <si>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</si>
  <si>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</si>
  <si>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</si>
  <si>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</si>
  <si>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</si>
  <si>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</si>
  <si>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</si>
  <si>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</si>
  <si>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</si>
  <si>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</si>
  <si>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</si>
  <si>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</si>
  <si>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</si>
  <si>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</si>
  <si>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</si>
  <si>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</si>
  <si>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</si>
  <si>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</si>
  <si>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</si>
  <si>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</si>
  <si>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</si>
  <si>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</si>
  <si>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</si>
  <si>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</si>
  <si>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</si>
  <si>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</si>
  <si>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</si>
  <si>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</si>
  <si>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</si>
  <si>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</si>
  <si>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</si>
  <si>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</si>
  <si>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</si>
  <si>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</si>
  <si>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</si>
  <si>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</si>
  <si>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</si>
  <si>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</si>
  <si>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</si>
  <si>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</si>
  <si>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</si>
  <si>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</si>
  <si>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</si>
  <si>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</si>
  <si>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</si>
  <si>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</si>
  <si>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</si>
  <si>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</si>
  <si>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</si>
  <si>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</si>
  <si>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</si>
  <si>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</si>
  <si>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</si>
  <si>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</si>
  <si>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</si>
  <si>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</si>
  <si>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</si>
  <si>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</si>
  <si>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</si>
  <si>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</si>
  <si>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</si>
  <si>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</si>
  <si>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</si>
  <si>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</si>
  <si>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</si>
  <si>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</si>
  <si>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</si>
  <si>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</si>
  <si>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</si>
  <si>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</si>
  <si>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</si>
  <si>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</si>
  <si>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</si>
  <si>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</si>
  <si>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</si>
  <si>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</si>
  <si>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</si>
  <si>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</si>
  <si>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</si>
  <si>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</si>
  <si>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</si>
  <si>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</si>
  <si>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</si>
  <si>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</si>
  <si>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</si>
  <si>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</si>
  <si>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</si>
  <si>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</si>
  <si>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</si>
  <si>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</si>
  <si>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</si>
  <si>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</si>
  <si>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</si>
  <si>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</si>
  <si>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</si>
  <si>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</si>
  <si>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</si>
  <si>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</si>
  <si>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</si>
  <si>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</si>
  <si>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</si>
  <si>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</si>
  <si>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</si>
  <si>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</si>
  <si>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</si>
  <si>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</si>
  <si>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</si>
  <si>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</si>
  <si>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</si>
  <si>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</si>
  <si>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</si>
  <si>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</si>
  <si>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</si>
  <si>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</si>
  <si>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</si>
  <si>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</si>
  <si>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</si>
  <si>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</si>
  <si>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</si>
  <si>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</si>
  <si>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</si>
  <si>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</si>
  <si>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</si>
  <si>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</si>
  <si>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</si>
  <si>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</si>
  <si>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</si>
  <si>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</si>
  <si>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</si>
  <si>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</si>
  <si>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</si>
  <si>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</si>
  <si>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</si>
  <si>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</si>
  <si>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</si>
  <si>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</si>
  <si>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</si>
  <si>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</si>
  <si>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</si>
  <si>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</si>
  <si>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</si>
  <si>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</si>
  <si>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</si>
  <si>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</si>
  <si>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</si>
  <si>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</si>
  <si>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</si>
  <si>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</si>
  <si>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</si>
  <si>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</si>
  <si>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</si>
  <si>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</si>
  <si>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</si>
  <si>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</si>
  <si>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</si>
  <si>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</si>
  <si>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</si>
  <si>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</si>
  <si>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</si>
  <si>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</si>
  <si>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</si>
  <si>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</si>
  <si>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</si>
  <si>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</si>
  <si>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</si>
  <si>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</si>
  <si>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</si>
  <si>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</si>
  <si>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</si>
  <si>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</si>
  <si>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</si>
  <si>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</si>
  <si>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</si>
  <si>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</si>
  <si>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</si>
  <si>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</si>
  <si>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</si>
  <si>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</si>
  <si>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</si>
  <si>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</si>
  <si>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</si>
  <si>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</si>
  <si>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</si>
  <si>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Ledningsnet ≤ Ø50 mm</t>
  </si>
  <si>
    <t>75</t>
  </si>
  <si>
    <t>Stik på ledningsnet, Konstruktioner</t>
  </si>
  <si>
    <t>Ventiler på ledningsnet ≤ Ø50 mm</t>
  </si>
  <si>
    <t>Ventiler på Ø 50mm &lt; Ledningsnet ≤ Ø110 mm</t>
  </si>
  <si>
    <t>Ventiler på Ø110 mm &lt; Ledningsnet ≤ Ø 250 mm</t>
  </si>
  <si>
    <t>Ø 250 mm &lt; Ledningsnet ≤ Ø 500mm</t>
  </si>
  <si>
    <t>Ø110 mm &lt; Ledningsnet ≤ Ø 250 mm</t>
  </si>
  <si>
    <t>Ingen tilknyttet virksomhed</t>
  </si>
  <si>
    <t>Afgift for ledningsført vand</t>
  </si>
  <si>
    <t>Afgift til Forsyningssekretariatet</t>
  </si>
  <si>
    <t>Ejendomsskat</t>
  </si>
  <si>
    <t>Erstatninger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</si>
  <si>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</si>
  <si>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</si>
  <si>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</si>
  <si>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</si>
  <si>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</si>
  <si>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</si>
  <si>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</si>
  <si>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</si>
  <si>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</si>
  <si>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</si>
  <si>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</si>
  <si>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</si>
  <si>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</si>
  <si>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</si>
  <si>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Ingen engangstillæg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</si>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</sst>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2" t="s">
        <v>4</v>
      </c>
      <c r="E6" s="82"/>
      <c r="F6" s="82"/>
      <c r="G6" s="82"/>
      <c r="H6" s="3"/>
      <c r="I6" s="1"/>
    </row>
    <row r="7" spans="1:9" ht="15" customHeight="1" x14ac:dyDescent="0.25">
      <c r="A7" s="1"/>
      <c r="B7" s="1"/>
      <c r="C7" s="3"/>
      <c r="D7" s="82"/>
      <c r="E7" s="82"/>
      <c r="F7" s="82"/>
      <c r="G7" s="82"/>
      <c r="H7" s="3"/>
      <c r="I7" s="1"/>
    </row>
    <row r="8" spans="1:9" ht="15.75" x14ac:dyDescent="0.25">
      <c r="A8" s="1"/>
      <c r="B8" s="1"/>
      <c r="C8" s="4"/>
      <c r="D8" s="84" t="s">
        <v>259</v>
      </c>
      <c r="E8" s="84"/>
      <c r="F8" s="84"/>
      <c r="G8" s="8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3" t="s">
        <v>5</v>
      </c>
      <c r="E11" s="83"/>
      <c r="F11" s="83"/>
      <c r="G11" s="8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9" t="s">
        <v>163</v>
      </c>
      <c r="E13" s="80"/>
      <c r="F13" s="80"/>
      <c r="G13" s="81"/>
      <c r="H13" s="1"/>
      <c r="I13" s="1"/>
    </row>
    <row r="14" spans="1:9" x14ac:dyDescent="0.25">
      <c r="A14" s="1"/>
      <c r="B14" s="1"/>
      <c r="C14" s="6" t="s">
        <v>15</v>
      </c>
      <c r="D14" s="79" t="s">
        <v>83</v>
      </c>
      <c r="E14" s="80"/>
      <c r="F14" s="80"/>
      <c r="G14" s="81"/>
      <c r="H14" s="1"/>
      <c r="I14" s="1"/>
    </row>
    <row r="15" spans="1:9" x14ac:dyDescent="0.25">
      <c r="A15" s="1"/>
      <c r="B15" s="1"/>
      <c r="C15" s="6" t="s">
        <v>35</v>
      </c>
      <c r="D15" s="79" t="s">
        <v>128</v>
      </c>
      <c r="E15" s="80"/>
      <c r="F15" s="80"/>
      <c r="G15" s="81"/>
      <c r="H15" s="1"/>
      <c r="I15" s="1"/>
    </row>
    <row r="16" spans="1:9" x14ac:dyDescent="0.25">
      <c r="A16" s="1"/>
      <c r="B16" s="1"/>
      <c r="C16" s="6" t="s">
        <v>36</v>
      </c>
      <c r="D16" s="79" t="s">
        <v>180</v>
      </c>
      <c r="E16" s="80"/>
      <c r="F16" s="80"/>
      <c r="G16" s="81"/>
      <c r="H16" s="1"/>
      <c r="I16" s="1"/>
    </row>
    <row r="17" spans="1:9" x14ac:dyDescent="0.25">
      <c r="A17" s="1"/>
      <c r="B17" s="1"/>
      <c r="C17" s="6" t="s">
        <v>127</v>
      </c>
      <c r="D17" s="79" t="s">
        <v>181</v>
      </c>
      <c r="E17" s="80"/>
      <c r="F17" s="80"/>
      <c r="G17" s="81"/>
      <c r="H17" s="1"/>
      <c r="I17" s="1"/>
    </row>
    <row r="18" spans="1:9" x14ac:dyDescent="0.25">
      <c r="A18" s="1"/>
      <c r="B18" s="1"/>
      <c r="C18" s="32" t="s">
        <v>111</v>
      </c>
      <c r="D18" s="85" t="s">
        <v>100</v>
      </c>
      <c r="E18" s="86"/>
      <c r="F18" s="86"/>
      <c r="G18" s="87"/>
      <c r="H18" s="1"/>
      <c r="I18" s="1"/>
    </row>
    <row r="19" spans="1:9" x14ac:dyDescent="0.25">
      <c r="A19" s="1"/>
      <c r="B19" s="1"/>
      <c r="C19" s="32" t="s">
        <v>112</v>
      </c>
      <c r="D19" s="85" t="s">
        <v>101</v>
      </c>
      <c r="E19" s="86"/>
      <c r="F19" s="86"/>
      <c r="G19" s="87"/>
      <c r="H19" s="1"/>
      <c r="I19" s="1"/>
    </row>
    <row r="20" spans="1:9" x14ac:dyDescent="0.25">
      <c r="A20" s="1"/>
      <c r="B20" s="1"/>
      <c r="C20" s="32" t="s">
        <v>7</v>
      </c>
      <c r="D20" s="85" t="s">
        <v>9</v>
      </c>
      <c r="E20" s="86"/>
      <c r="F20" s="86"/>
      <c r="G20" s="87"/>
      <c r="H20" s="1"/>
      <c r="I20" s="1"/>
    </row>
    <row r="21" spans="1:9" x14ac:dyDescent="0.25">
      <c r="A21" s="1"/>
      <c r="B21" s="1"/>
      <c r="C21" s="6" t="s">
        <v>113</v>
      </c>
      <c r="D21" s="76" t="s">
        <v>12</v>
      </c>
      <c r="E21" s="77"/>
      <c r="F21" s="77"/>
      <c r="G21" s="78"/>
      <c r="H21" s="1"/>
      <c r="I21" s="1"/>
    </row>
    <row r="22" spans="1:9" x14ac:dyDescent="0.25">
      <c r="A22" s="1"/>
      <c r="B22" s="1"/>
      <c r="C22" s="6" t="s">
        <v>87</v>
      </c>
      <c r="D22" s="70" t="s">
        <v>182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8</v>
      </c>
      <c r="D23" s="70" t="s">
        <v>37</v>
      </c>
      <c r="E23" s="71"/>
      <c r="F23" s="71"/>
      <c r="G23" s="72"/>
      <c r="H23" s="1"/>
      <c r="I23" s="1"/>
    </row>
    <row r="24" spans="1:9" x14ac:dyDescent="0.25">
      <c r="A24" s="1"/>
      <c r="B24" s="1"/>
      <c r="C24" s="6" t="s">
        <v>170</v>
      </c>
      <c r="D24" s="70" t="s">
        <v>88</v>
      </c>
      <c r="E24" s="71"/>
      <c r="F24" s="71"/>
      <c r="G24" s="72"/>
      <c r="H24" s="1"/>
      <c r="I24" s="1"/>
    </row>
    <row r="25" spans="1:9" x14ac:dyDescent="0.25">
      <c r="A25" s="1"/>
      <c r="B25" s="1"/>
      <c r="C25" s="6" t="s">
        <v>171</v>
      </c>
      <c r="D25" s="70" t="s">
        <v>89</v>
      </c>
      <c r="E25" s="71"/>
      <c r="F25" s="71"/>
      <c r="G25" s="72"/>
      <c r="H25" s="1"/>
      <c r="I25" s="1"/>
    </row>
    <row r="26" spans="1:9" x14ac:dyDescent="0.25">
      <c r="A26" s="1"/>
      <c r="B26" s="1"/>
      <c r="C26" s="6" t="s">
        <v>172</v>
      </c>
      <c r="D26" s="70" t="s">
        <v>129</v>
      </c>
      <c r="E26" s="71"/>
      <c r="F26" s="71"/>
      <c r="G26" s="72"/>
      <c r="H26" s="1"/>
      <c r="I26" s="1"/>
    </row>
    <row r="27" spans="1:9" x14ac:dyDescent="0.25">
      <c r="A27" s="1"/>
      <c r="B27" s="1"/>
      <c r="C27" s="6" t="s">
        <v>114</v>
      </c>
      <c r="D27" s="70" t="s">
        <v>38</v>
      </c>
      <c r="E27" s="71"/>
      <c r="F27" s="71"/>
      <c r="G27" s="72"/>
      <c r="H27" s="1"/>
      <c r="I27" s="1"/>
    </row>
    <row r="28" spans="1:9" x14ac:dyDescent="0.25">
      <c r="A28" s="1"/>
      <c r="B28" s="1"/>
      <c r="C28" s="6" t="s">
        <v>108</v>
      </c>
      <c r="D28" s="73" t="s">
        <v>109</v>
      </c>
      <c r="E28" s="74"/>
      <c r="F28" s="74"/>
      <c r="G28" s="7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PDT6euY60SPDfOfDBc9ugHX1Fmj3IwM2PAIZXHg/DSnv7nwyPxLtdtHY0UVniA7yU/nKjF4en9esOD1hiIHhFA==" saltValue="6f9C81fUp3ZUi2Cj/cRhUg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8" t="s">
        <v>117</v>
      </c>
      <c r="C3" s="88"/>
      <c r="D3" s="88"/>
      <c r="E3" s="1"/>
      <c r="F3" s="1"/>
    </row>
    <row r="4" spans="1:6" ht="15" customHeight="1" x14ac:dyDescent="0.25">
      <c r="A4" s="1"/>
      <c r="B4" s="88"/>
      <c r="C4" s="88"/>
      <c r="D4" s="8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1" t="s">
        <v>202</v>
      </c>
      <c r="C8" s="112"/>
      <c r="D8" s="113"/>
      <c r="E8" s="1"/>
      <c r="F8" s="1"/>
    </row>
    <row r="9" spans="1:6" ht="15" customHeight="1" x14ac:dyDescent="0.25">
      <c r="A9" s="1"/>
      <c r="B9" s="51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2" t="s">
        <v>235</v>
      </c>
      <c r="C10" s="9">
        <v>19534716</v>
      </c>
      <c r="D10" s="14" t="s">
        <v>3</v>
      </c>
      <c r="E10" s="1"/>
      <c r="F10" s="1"/>
    </row>
    <row r="11" spans="1:6" x14ac:dyDescent="0.25">
      <c r="A11" s="1"/>
      <c r="B11" s="62" t="s">
        <v>236</v>
      </c>
      <c r="C11" s="9">
        <v>93671</v>
      </c>
      <c r="D11" s="14" t="s">
        <v>3</v>
      </c>
      <c r="E11" s="1"/>
      <c r="F11" s="1"/>
    </row>
    <row r="12" spans="1:6" x14ac:dyDescent="0.25">
      <c r="A12" s="1"/>
      <c r="B12" s="62" t="s">
        <v>237</v>
      </c>
      <c r="C12" s="9">
        <v>214147</v>
      </c>
      <c r="D12" s="14" t="s">
        <v>3</v>
      </c>
      <c r="E12" s="1"/>
      <c r="F12" s="1"/>
    </row>
    <row r="13" spans="1:6" x14ac:dyDescent="0.25">
      <c r="A13" s="1"/>
      <c r="B13" s="62" t="s">
        <v>238</v>
      </c>
      <c r="C13" s="9">
        <v>174412</v>
      </c>
      <c r="D13" s="14" t="s">
        <v>3</v>
      </c>
      <c r="E13" s="1"/>
      <c r="F13" s="1"/>
    </row>
    <row r="14" spans="1:6" x14ac:dyDescent="0.25">
      <c r="A14" s="1"/>
      <c r="B14" s="54" t="s">
        <v>204</v>
      </c>
      <c r="C14" s="12">
        <f>SUM(C10:C13)</f>
        <v>20016946</v>
      </c>
      <c r="D14" s="13" t="s">
        <v>3</v>
      </c>
      <c r="E14" s="1"/>
      <c r="F14" s="1"/>
    </row>
    <row r="15" spans="1:6" x14ac:dyDescent="0.25">
      <c r="A15" s="1"/>
      <c r="B15" s="54" t="s">
        <v>205</v>
      </c>
      <c r="C15" s="12">
        <f>C14*(1+'Fane 12. Nøgletal'!C14)^2</f>
        <v>20149275.828141943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Os3yv9YzsZWhNOdnNwpNHZN2BdXQkvJ5CcD1dvb0uXmzkvJLCH17Iao2irzjKk+j3wWI8U2YhK74kyemd/vKNA==" saltValue="jmU49O7d1cC+SMp1ldD8A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6" t="s">
        <v>220</v>
      </c>
      <c r="C3" s="96"/>
      <c r="D3" s="96"/>
      <c r="E3" s="96"/>
      <c r="F3" s="96"/>
      <c r="G3" s="1"/>
    </row>
    <row r="4" spans="1:7" ht="15" customHeight="1" x14ac:dyDescent="0.25">
      <c r="A4" s="1"/>
      <c r="B4" s="96"/>
      <c r="C4" s="96"/>
      <c r="D4" s="96"/>
      <c r="E4" s="96"/>
      <c r="F4" s="96"/>
      <c r="G4" s="1"/>
    </row>
    <row r="5" spans="1:7" ht="15" customHeight="1" x14ac:dyDescent="0.25">
      <c r="A5" s="1"/>
      <c r="B5" s="49"/>
      <c r="C5" s="49"/>
      <c r="D5" s="49"/>
      <c r="E5" s="49"/>
      <c r="F5" s="49"/>
      <c r="G5" s="1"/>
    </row>
    <row r="6" spans="1:7" ht="15" customHeight="1" x14ac:dyDescent="0.25">
      <c r="A6" s="1"/>
      <c r="B6" s="49"/>
      <c r="C6" s="49"/>
      <c r="D6" s="49"/>
      <c r="E6" s="49"/>
      <c r="F6" s="4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240</v>
      </c>
      <c r="C8" s="112"/>
      <c r="D8" s="112"/>
      <c r="E8" s="112"/>
      <c r="F8" s="113"/>
      <c r="G8" s="1"/>
    </row>
    <row r="9" spans="1:7" x14ac:dyDescent="0.25">
      <c r="A9" s="1"/>
      <c r="B9" s="114" t="s">
        <v>241</v>
      </c>
      <c r="C9" s="115"/>
      <c r="D9" s="116"/>
      <c r="E9" s="9">
        <v>4925733.1545811519</v>
      </c>
      <c r="F9" s="14" t="s">
        <v>3</v>
      </c>
      <c r="G9" s="1"/>
    </row>
    <row r="10" spans="1:7" x14ac:dyDescent="0.25">
      <c r="A10" s="1"/>
      <c r="B10" s="114" t="s">
        <v>242</v>
      </c>
      <c r="C10" s="115"/>
      <c r="D10" s="116"/>
      <c r="E10" s="9">
        <v>6640068.7504659146</v>
      </c>
      <c r="F10" s="14" t="s">
        <v>3</v>
      </c>
      <c r="G10" s="1"/>
    </row>
    <row r="11" spans="1:7" x14ac:dyDescent="0.25">
      <c r="A11" s="1"/>
      <c r="B11" s="114" t="s">
        <v>243</v>
      </c>
      <c r="C11" s="115"/>
      <c r="D11" s="116"/>
      <c r="E11" s="9">
        <v>8627211.4200053662</v>
      </c>
      <c r="F11" s="14" t="s">
        <v>3</v>
      </c>
      <c r="G11" s="1"/>
    </row>
    <row r="12" spans="1:7" x14ac:dyDescent="0.25">
      <c r="A12" s="1"/>
      <c r="B12" s="114" t="s">
        <v>244</v>
      </c>
      <c r="C12" s="115"/>
      <c r="D12" s="116"/>
      <c r="E12" s="9">
        <f>IF(OR(AND(E10&gt;0,E11&lt;0),AND(E11&lt;0,E34&gt;0)),E17+E18,E11)</f>
        <v>8627211.4200053662</v>
      </c>
      <c r="F12" s="14" t="s">
        <v>3</v>
      </c>
      <c r="G12" s="1"/>
    </row>
    <row r="13" spans="1:7" x14ac:dyDescent="0.25">
      <c r="A13" s="1"/>
      <c r="B13" s="54"/>
      <c r="C13" s="55"/>
      <c r="D13" s="55"/>
      <c r="E13" s="55"/>
      <c r="F13" s="20"/>
      <c r="G13" s="1"/>
    </row>
    <row r="14" spans="1:7" ht="54.75" customHeight="1" x14ac:dyDescent="0.25">
      <c r="A14" s="1"/>
      <c r="B14" s="100" t="s">
        <v>245</v>
      </c>
      <c r="C14" s="101"/>
      <c r="D14" s="101"/>
      <c r="E14" s="101"/>
      <c r="F14" s="102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1" t="s">
        <v>246</v>
      </c>
      <c r="C16" s="112"/>
      <c r="D16" s="112"/>
      <c r="E16" s="112"/>
      <c r="F16" s="113"/>
      <c r="G16" s="1"/>
    </row>
    <row r="17" spans="1:7" x14ac:dyDescent="0.25">
      <c r="A17" s="1"/>
      <c r="B17" s="114" t="s">
        <v>247</v>
      </c>
      <c r="C17" s="115"/>
      <c r="D17" s="116"/>
      <c r="E17" s="9">
        <v>0</v>
      </c>
      <c r="F17" s="14" t="s">
        <v>3</v>
      </c>
      <c r="G17" s="1"/>
    </row>
    <row r="18" spans="1:7" x14ac:dyDescent="0.25">
      <c r="A18" s="1"/>
      <c r="B18" s="114" t="s">
        <v>248</v>
      </c>
      <c r="C18" s="115"/>
      <c r="D18" s="116"/>
      <c r="E18" s="9">
        <v>0</v>
      </c>
      <c r="F18" s="14" t="s">
        <v>3</v>
      </c>
      <c r="G18" s="1"/>
    </row>
    <row r="19" spans="1:7" x14ac:dyDescent="0.25">
      <c r="A19" s="1"/>
      <c r="B19" s="54"/>
      <c r="C19" s="55"/>
      <c r="D19" s="55"/>
      <c r="E19" s="55"/>
      <c r="F19" s="20"/>
      <c r="G19" s="1"/>
    </row>
    <row r="20" spans="1:7" ht="30" customHeight="1" x14ac:dyDescent="0.25">
      <c r="A20" s="1"/>
      <c r="B20" s="100" t="s">
        <v>249</v>
      </c>
      <c r="C20" s="101"/>
      <c r="D20" s="101"/>
      <c r="E20" s="101"/>
      <c r="F20" s="102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6" t="s">
        <v>206</v>
      </c>
      <c r="C22" s="57"/>
      <c r="D22" s="57"/>
      <c r="E22" s="57"/>
      <c r="F22" s="58"/>
      <c r="G22" s="1"/>
    </row>
    <row r="23" spans="1:7" x14ac:dyDescent="0.25">
      <c r="A23" s="1"/>
      <c r="B23" s="59" t="s">
        <v>207</v>
      </c>
      <c r="C23" s="60"/>
      <c r="D23" s="61"/>
      <c r="E23" s="9">
        <v>52393041.86588601</v>
      </c>
      <c r="F23" s="14" t="s">
        <v>3</v>
      </c>
      <c r="G23" s="1"/>
    </row>
    <row r="24" spans="1:7" x14ac:dyDescent="0.25">
      <c r="A24" s="1"/>
      <c r="B24" s="59" t="s">
        <v>208</v>
      </c>
      <c r="C24" s="60"/>
      <c r="D24" s="61"/>
      <c r="E24" s="9">
        <v>40878810</v>
      </c>
      <c r="F24" s="14" t="s">
        <v>3</v>
      </c>
      <c r="G24" s="1"/>
    </row>
    <row r="25" spans="1:7" x14ac:dyDescent="0.25">
      <c r="A25" s="1"/>
      <c r="B25" s="59" t="s">
        <v>34</v>
      </c>
      <c r="C25" s="60"/>
      <c r="D25" s="61"/>
      <c r="E25" s="9">
        <v>0</v>
      </c>
      <c r="F25" s="14" t="s">
        <v>3</v>
      </c>
      <c r="G25" s="1"/>
    </row>
    <row r="26" spans="1:7" x14ac:dyDescent="0.25">
      <c r="A26" s="1"/>
      <c r="B26" s="63" t="s">
        <v>257</v>
      </c>
      <c r="C26" s="64"/>
      <c r="D26" s="65"/>
      <c r="E26" s="45">
        <f>E23-(E24-E25)</f>
        <v>11514231.86588601</v>
      </c>
      <c r="F26" s="17" t="s">
        <v>3</v>
      </c>
      <c r="G26" s="1"/>
    </row>
    <row r="27" spans="1:7" x14ac:dyDescent="0.25">
      <c r="A27" s="1"/>
      <c r="B27" s="54"/>
      <c r="C27" s="55"/>
      <c r="D27" s="55"/>
      <c r="E27" s="55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1" t="s">
        <v>250</v>
      </c>
      <c r="C29" s="112"/>
      <c r="D29" s="112"/>
      <c r="E29" s="112"/>
      <c r="F29" s="113"/>
      <c r="G29" s="1"/>
    </row>
    <row r="30" spans="1:7" x14ac:dyDescent="0.25">
      <c r="A30" s="1"/>
      <c r="B30" s="132" t="s">
        <v>251</v>
      </c>
      <c r="C30" s="133"/>
      <c r="D30" s="134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1"/>
      <c r="C31" s="112"/>
      <c r="D31" s="112"/>
      <c r="E31" s="112"/>
      <c r="F31" s="113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1" t="s">
        <v>252</v>
      </c>
      <c r="C33" s="112"/>
      <c r="D33" s="112"/>
      <c r="E33" s="112"/>
      <c r="F33" s="113"/>
      <c r="G33" s="1"/>
    </row>
    <row r="34" spans="1:7" x14ac:dyDescent="0.25">
      <c r="A34" s="1"/>
      <c r="B34" s="136" t="s">
        <v>258</v>
      </c>
      <c r="C34" s="137"/>
      <c r="D34" s="138"/>
      <c r="E34" s="9">
        <v>3</v>
      </c>
      <c r="F34" s="14"/>
      <c r="G34" s="1"/>
    </row>
    <row r="35" spans="1:7" x14ac:dyDescent="0.25">
      <c r="A35" s="1"/>
      <c r="B35" s="136" t="s">
        <v>161</v>
      </c>
      <c r="C35" s="137"/>
      <c r="D35" s="138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6" t="s">
        <v>110</v>
      </c>
      <c r="C36" s="137"/>
      <c r="D36" s="138"/>
      <c r="E36" s="9">
        <v>4</v>
      </c>
      <c r="F36" s="14" t="s">
        <v>19</v>
      </c>
      <c r="G36" s="1"/>
    </row>
    <row r="37" spans="1:7" x14ac:dyDescent="0.25">
      <c r="A37" s="1"/>
      <c r="B37" s="135" t="s">
        <v>160</v>
      </c>
      <c r="C37" s="135"/>
      <c r="D37" s="135"/>
      <c r="E37" s="10">
        <f>E35/E36</f>
        <v>0</v>
      </c>
      <c r="F37" s="17" t="s">
        <v>3</v>
      </c>
      <c r="G37" s="1"/>
    </row>
    <row r="38" spans="1:7" x14ac:dyDescent="0.25">
      <c r="A38" s="1"/>
      <c r="B38" s="129"/>
      <c r="C38" s="130"/>
      <c r="D38" s="130"/>
      <c r="E38" s="130"/>
      <c r="F38" s="131"/>
      <c r="G38" s="1"/>
    </row>
    <row r="39" spans="1:7" ht="75" customHeight="1" x14ac:dyDescent="0.25">
      <c r="A39" s="1"/>
      <c r="B39" s="100" t="s">
        <v>256</v>
      </c>
      <c r="C39" s="101"/>
      <c r="D39" s="101"/>
      <c r="E39" s="101"/>
      <c r="F39" s="102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3VoAIl0PoP6DsNOs9uMKZam5OKUzfPTUfMIQCiTEv1LbJuaSWlZeG7hVTpPFfP4JgOrJ+MPN7QJOCa7GsMRdyQ==" saltValue="EootCbbIsO9xx7fmZKbWLA==" spinCount="100000" sheet="1" objects="1" scenarios="1"/>
  <mergeCells count="21">
    <mergeCell ref="B31:F31"/>
    <mergeCell ref="B33:F33"/>
    <mergeCell ref="B34:D34"/>
    <mergeCell ref="B35:D35"/>
    <mergeCell ref="B36:D36"/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2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169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1" t="s">
        <v>157</v>
      </c>
      <c r="C8" s="112"/>
      <c r="D8" s="112"/>
      <c r="E8" s="112"/>
      <c r="F8" s="112"/>
      <c r="G8" s="112"/>
      <c r="H8" s="113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8"/>
      <c r="I9" s="1"/>
    </row>
    <row r="10" spans="1:9" x14ac:dyDescent="0.25">
      <c r="A10" s="1"/>
      <c r="B10" s="67" t="s">
        <v>226</v>
      </c>
      <c r="C10" s="68" t="s">
        <v>227</v>
      </c>
      <c r="D10" s="9">
        <v>165</v>
      </c>
      <c r="E10" s="9">
        <f>IFERROR(D10/C10,0)</f>
        <v>2.2000000000000002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67" t="s">
        <v>228</v>
      </c>
      <c r="C11" s="68" t="s">
        <v>227</v>
      </c>
      <c r="D11" s="9">
        <v>1567</v>
      </c>
      <c r="E11" s="9">
        <f t="shared" ref="E11:E14" si="0">IFERROR(D11/C11,0)</f>
        <v>20.893333333333334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67" t="s">
        <v>229</v>
      </c>
      <c r="C12" s="68" t="s">
        <v>227</v>
      </c>
      <c r="D12" s="9">
        <v>2566</v>
      </c>
      <c r="E12" s="9">
        <f t="shared" si="0"/>
        <v>34.213333333333331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67" t="s">
        <v>230</v>
      </c>
      <c r="C13" s="68" t="s">
        <v>227</v>
      </c>
      <c r="D13" s="9">
        <v>5959</v>
      </c>
      <c r="E13" s="9">
        <f t="shared" si="0"/>
        <v>79.453333333333333</v>
      </c>
      <c r="F13" s="9">
        <v>0</v>
      </c>
      <c r="G13" s="9">
        <v>0</v>
      </c>
      <c r="H13" s="14" t="s">
        <v>3</v>
      </c>
      <c r="I13" s="1"/>
    </row>
    <row r="14" spans="1:9" ht="26.25" x14ac:dyDescent="0.25">
      <c r="A14" s="1"/>
      <c r="B14" s="67" t="s">
        <v>231</v>
      </c>
      <c r="C14" s="68" t="s">
        <v>227</v>
      </c>
      <c r="D14" s="9">
        <v>14425</v>
      </c>
      <c r="E14" s="9">
        <f t="shared" si="0"/>
        <v>192.33333333333334</v>
      </c>
      <c r="F14" s="9">
        <v>0</v>
      </c>
      <c r="G14" s="9">
        <v>0</v>
      </c>
      <c r="H14" s="14" t="s">
        <v>3</v>
      </c>
      <c r="I14" s="1"/>
    </row>
    <row r="15" spans="1:9" ht="26.25" x14ac:dyDescent="0.25">
      <c r="A15" s="1"/>
      <c r="B15" s="67" t="s">
        <v>232</v>
      </c>
      <c r="C15" s="68" t="s">
        <v>227</v>
      </c>
      <c r="D15" s="9">
        <v>99417</v>
      </c>
      <c r="E15" s="9">
        <f t="shared" ref="E15:E16" si="1">IFERROR(D15/C15,0)</f>
        <v>1325.56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67" t="s">
        <v>233</v>
      </c>
      <c r="C16" s="68" t="s">
        <v>227</v>
      </c>
      <c r="D16" s="9">
        <v>667720</v>
      </c>
      <c r="E16" s="9">
        <f t="shared" si="1"/>
        <v>8902.9333333333325</v>
      </c>
      <c r="F16" s="9">
        <v>0</v>
      </c>
      <c r="G16" s="9">
        <v>0</v>
      </c>
      <c r="H16" s="14" t="s">
        <v>3</v>
      </c>
      <c r="I16" s="1"/>
    </row>
    <row r="17" spans="1:9" x14ac:dyDescent="0.25">
      <c r="A17" s="1"/>
      <c r="B17" s="111" t="s">
        <v>158</v>
      </c>
      <c r="C17" s="112"/>
      <c r="D17" s="113"/>
      <c r="E17" s="12">
        <f>SUM(E10:E16)</f>
        <v>10557.586666666666</v>
      </c>
      <c r="F17" s="12">
        <f t="shared" ref="F17:G17" si="2">SUM(F10:F16)</f>
        <v>0</v>
      </c>
      <c r="G17" s="12">
        <f t="shared" si="2"/>
        <v>0</v>
      </c>
      <c r="H17" s="13" t="s">
        <v>3</v>
      </c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</sheetData>
  <sheetProtection algorithmName="SHA-512" hashValue="v+TtfOtrwo+nDE9XExixpBm6iQEOdLD0iJ0c0JdfG8HJS1MWRpmm9Mqkc6OV9ZOpCyrdcG2/aaILG2JOrbEquQ==" saltValue="33pKV20gTHo/9Vz3i7Eo2A==" spinCount="100000" sheet="1" objects="1" scenarios="1"/>
  <mergeCells count="3">
    <mergeCell ref="B3:H4"/>
    <mergeCell ref="B17:D17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84</v>
      </c>
      <c r="C8" s="55"/>
      <c r="D8" s="55"/>
      <c r="E8" s="55"/>
      <c r="F8" s="20"/>
      <c r="G8" s="1"/>
    </row>
    <row r="9" spans="1:7" ht="17.25" customHeight="1" x14ac:dyDescent="0.25">
      <c r="A9" s="1"/>
      <c r="B9" s="52" t="s">
        <v>16</v>
      </c>
      <c r="C9" s="52" t="s">
        <v>11</v>
      </c>
      <c r="D9" s="53"/>
      <c r="E9" s="52" t="s">
        <v>32</v>
      </c>
      <c r="F9" s="48"/>
      <c r="G9" s="1"/>
    </row>
    <row r="10" spans="1:7" x14ac:dyDescent="0.25">
      <c r="A10" s="1"/>
      <c r="B10" s="25" t="s">
        <v>39</v>
      </c>
      <c r="C10" s="22">
        <f>'Fane 8. Anlægsprojekter'!F17</f>
        <v>0</v>
      </c>
      <c r="D10" s="14" t="s">
        <v>3</v>
      </c>
      <c r="E10" s="9">
        <f>SUM('Fane 8. Anlægsprojekter'!E17,'Fane 8. Anlægsprojekter'!G17)</f>
        <v>10557.586666666666</v>
      </c>
      <c r="F10" s="14" t="s">
        <v>3</v>
      </c>
      <c r="G10" s="1"/>
    </row>
    <row r="11" spans="1:7" x14ac:dyDescent="0.25">
      <c r="A11" s="1"/>
      <c r="B11" s="54" t="s">
        <v>136</v>
      </c>
      <c r="C11" s="12">
        <f>SUM(C10:C10)</f>
        <v>0</v>
      </c>
      <c r="D11" s="13" t="s">
        <v>3</v>
      </c>
      <c r="E11" s="12">
        <f>SUM(E10:E10)</f>
        <v>10557.586666666666</v>
      </c>
      <c r="F11" s="13" t="s">
        <v>3</v>
      </c>
      <c r="G11" s="1"/>
    </row>
    <row r="12" spans="1:7" x14ac:dyDescent="0.25">
      <c r="A12" s="1"/>
      <c r="B12" s="54" t="s">
        <v>209</v>
      </c>
      <c r="C12" s="12">
        <f>C11*(1+'Fane 12. Nøgletal'!C14)</f>
        <v>0</v>
      </c>
      <c r="D12" s="13" t="s">
        <v>3</v>
      </c>
      <c r="E12" s="12">
        <f>E11*(1+'Fane 12. Nøgletal'!C14)</f>
        <v>10592.426702666668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SIt+qJgsiFVC7SVnlzjzOa2S1KFJQVEtOiz9oBC0jRFh0kDzz5jKZWrVLn2ENXK3DO0kyEmW0argmOYOQ9DAg==" saltValue="JxmWPUXLnvjEaXIjilEXK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102</v>
      </c>
      <c r="C8" s="112"/>
      <c r="D8" s="112"/>
      <c r="E8" s="112"/>
      <c r="F8" s="113"/>
      <c r="G8" s="1"/>
    </row>
    <row r="9" spans="1:7" x14ac:dyDescent="0.25">
      <c r="A9" s="1"/>
      <c r="B9" s="52" t="s">
        <v>16</v>
      </c>
      <c r="C9" s="52" t="s">
        <v>11</v>
      </c>
      <c r="D9" s="53"/>
      <c r="E9" s="52" t="s">
        <v>32</v>
      </c>
      <c r="F9" s="48"/>
      <c r="G9" s="1"/>
    </row>
    <row r="10" spans="1:7" x14ac:dyDescent="0.25">
      <c r="A10" s="1"/>
      <c r="B10" s="25" t="s">
        <v>253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4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1" t="s">
        <v>103</v>
      </c>
      <c r="C16" s="112"/>
      <c r="D16" s="112"/>
      <c r="E16" s="112"/>
      <c r="F16" s="113"/>
      <c r="G16" s="1"/>
    </row>
    <row r="17" spans="1:7" x14ac:dyDescent="0.25">
      <c r="A17" s="1"/>
      <c r="B17" s="52" t="s">
        <v>16</v>
      </c>
      <c r="C17" s="52" t="s">
        <v>11</v>
      </c>
      <c r="D17" s="53"/>
      <c r="E17" s="52" t="s">
        <v>32</v>
      </c>
      <c r="F17" s="48"/>
      <c r="G17" s="1"/>
    </row>
    <row r="18" spans="1:7" x14ac:dyDescent="0.25">
      <c r="A18" s="1"/>
      <c r="B18" s="25" t="s">
        <v>253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4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4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1" t="s">
        <v>138</v>
      </c>
      <c r="C24" s="112"/>
      <c r="D24" s="112"/>
      <c r="E24" s="112"/>
      <c r="F24" s="113"/>
      <c r="G24" s="1"/>
    </row>
    <row r="25" spans="1:7" x14ac:dyDescent="0.25">
      <c r="A25" s="1"/>
      <c r="B25" s="52" t="s">
        <v>16</v>
      </c>
      <c r="C25" s="52" t="s">
        <v>11</v>
      </c>
      <c r="D25" s="53"/>
      <c r="E25" s="52" t="s">
        <v>32</v>
      </c>
      <c r="F25" s="48"/>
      <c r="G25" s="1"/>
    </row>
    <row r="26" spans="1:7" x14ac:dyDescent="0.25">
      <c r="A26" s="1"/>
      <c r="B26" s="25" t="s">
        <v>253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4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4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1" t="s">
        <v>211</v>
      </c>
      <c r="C32" s="112"/>
      <c r="D32" s="112"/>
      <c r="E32" s="112"/>
      <c r="F32" s="113"/>
      <c r="G32" s="1"/>
    </row>
    <row r="33" spans="1:7" x14ac:dyDescent="0.25">
      <c r="A33" s="1"/>
      <c r="B33" s="52" t="s">
        <v>16</v>
      </c>
      <c r="C33" s="52" t="s">
        <v>11</v>
      </c>
      <c r="D33" s="53"/>
      <c r="E33" s="52" t="s">
        <v>32</v>
      </c>
      <c r="F33" s="48"/>
      <c r="G33" s="1"/>
    </row>
    <row r="34" spans="1:7" x14ac:dyDescent="0.25">
      <c r="A34" s="1"/>
      <c r="B34" s="25" t="s">
        <v>253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4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4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/mzHMhcCHtkeSbiLu9PKCzxPNM5o/K8ibiVn9wqZTA05/jf4EXMCVsdg2Mo6Zlvq7AutzSOLsYipIeGv9RUB7Q==" saltValue="pafFl1qLerg5n3XLTmn9a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166</v>
      </c>
      <c r="C3" s="96"/>
      <c r="D3" s="96"/>
      <c r="E3" s="96"/>
      <c r="F3" s="96"/>
      <c r="G3" s="1"/>
    </row>
    <row r="4" spans="1:7" ht="25.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130</v>
      </c>
      <c r="C8" s="112"/>
      <c r="D8" s="112"/>
      <c r="E8" s="112"/>
      <c r="F8" s="113"/>
      <c r="G8" s="1"/>
    </row>
    <row r="9" spans="1:7" ht="15" customHeight="1" x14ac:dyDescent="0.25">
      <c r="A9" s="1"/>
      <c r="B9" s="47" t="s">
        <v>131</v>
      </c>
      <c r="C9" s="106" t="s">
        <v>11</v>
      </c>
      <c r="D9" s="108"/>
      <c r="E9" s="106" t="s">
        <v>32</v>
      </c>
      <c r="F9" s="108"/>
      <c r="G9" s="1"/>
    </row>
    <row r="10" spans="1:7" x14ac:dyDescent="0.25">
      <c r="A10" s="1"/>
      <c r="B10" s="25" t="s">
        <v>234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UQwg1DZr57bIZh0rTyip87CuUH4Zsm32Ily0tnfKcvqrb87LxF/KI0d5PuqYTc7fv5rCOblKGi3rnssl7E9lqw==" saltValue="3eAv4E/HPWzk8lKaBjmZ/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165</v>
      </c>
      <c r="C3" s="96"/>
      <c r="D3" s="96"/>
      <c r="E3" s="96"/>
      <c r="F3" s="96"/>
      <c r="G3" s="1"/>
    </row>
    <row r="4" spans="1:7" ht="25.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98</v>
      </c>
      <c r="C8" s="112"/>
      <c r="D8" s="112"/>
      <c r="E8" s="112"/>
      <c r="F8" s="113"/>
      <c r="G8" s="1"/>
    </row>
    <row r="9" spans="1:7" ht="15" customHeight="1" x14ac:dyDescent="0.25">
      <c r="A9" s="1"/>
      <c r="B9" s="47" t="s">
        <v>17</v>
      </c>
      <c r="C9" s="47" t="s">
        <v>11</v>
      </c>
      <c r="D9" s="48"/>
      <c r="E9" s="47" t="s">
        <v>32</v>
      </c>
      <c r="F9" s="48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4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1" t="s">
        <v>99</v>
      </c>
      <c r="C15" s="112"/>
      <c r="D15" s="112"/>
      <c r="E15" s="112"/>
      <c r="F15" s="113"/>
      <c r="G15" s="1"/>
    </row>
    <row r="16" spans="1:7" ht="26.25" x14ac:dyDescent="0.25">
      <c r="A16" s="1"/>
      <c r="B16" s="47" t="s">
        <v>17</v>
      </c>
      <c r="C16" s="47" t="s">
        <v>11</v>
      </c>
      <c r="D16" s="48"/>
      <c r="E16" s="47" t="s">
        <v>32</v>
      </c>
      <c r="F16" s="48"/>
      <c r="G16" s="1"/>
    </row>
    <row r="17" spans="1:7" x14ac:dyDescent="0.2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4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4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1" t="s">
        <v>142</v>
      </c>
      <c r="C22" s="112"/>
      <c r="D22" s="112"/>
      <c r="E22" s="112"/>
      <c r="F22" s="113"/>
      <c r="G22" s="1"/>
    </row>
    <row r="23" spans="1:7" ht="26.25" x14ac:dyDescent="0.25">
      <c r="A23" s="1"/>
      <c r="B23" s="47" t="s">
        <v>17</v>
      </c>
      <c r="C23" s="47" t="s">
        <v>11</v>
      </c>
      <c r="D23" s="48"/>
      <c r="E23" s="47" t="s">
        <v>32</v>
      </c>
      <c r="F23" s="48"/>
      <c r="G23" s="1"/>
    </row>
    <row r="24" spans="1:7" x14ac:dyDescent="0.2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4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4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1" t="s">
        <v>214</v>
      </c>
      <c r="C29" s="112"/>
      <c r="D29" s="112"/>
      <c r="E29" s="112"/>
      <c r="F29" s="113"/>
      <c r="G29" s="1"/>
    </row>
    <row r="30" spans="1:7" ht="26.25" x14ac:dyDescent="0.25">
      <c r="A30" s="1"/>
      <c r="B30" s="47" t="s">
        <v>17</v>
      </c>
      <c r="C30" s="47" t="s">
        <v>11</v>
      </c>
      <c r="D30" s="48"/>
      <c r="E30" s="47" t="s">
        <v>32</v>
      </c>
      <c r="F30" s="48"/>
      <c r="G30" s="1"/>
    </row>
    <row r="31" spans="1:7" x14ac:dyDescent="0.2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4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4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w65f7puMWLxzb+zjy08urK8TC/ZugfOJxTXq589EA7B/pJbubYIsJXFAlsKuZzOROY08NOW4tYm/zfXYEpOQbA==" saltValue="4Q4HUjvrk6O3/xMolLhGg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6" t="s">
        <v>164</v>
      </c>
      <c r="C3" s="96"/>
      <c r="D3" s="1"/>
    </row>
    <row r="4" spans="1:4" ht="25.5" customHeight="1" x14ac:dyDescent="0.25">
      <c r="A4" s="1"/>
      <c r="B4" s="96"/>
      <c r="C4" s="9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4" t="s">
        <v>14</v>
      </c>
      <c r="C8" s="20"/>
      <c r="D8" s="1"/>
    </row>
    <row r="9" spans="1:4" x14ac:dyDescent="0.25">
      <c r="A9" s="1"/>
      <c r="B9" s="62" t="s">
        <v>118</v>
      </c>
      <c r="C9" s="26">
        <v>1.2699999999999999E-2</v>
      </c>
      <c r="D9" s="1"/>
    </row>
    <row r="10" spans="1:4" x14ac:dyDescent="0.25">
      <c r="A10" s="1"/>
      <c r="B10" s="62" t="s">
        <v>22</v>
      </c>
      <c r="C10" s="26">
        <v>1.7500000000000002E-2</v>
      </c>
      <c r="D10" s="1"/>
    </row>
    <row r="11" spans="1:4" x14ac:dyDescent="0.25">
      <c r="A11" s="1"/>
      <c r="B11" s="62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69">
        <v>3.3E-3</v>
      </c>
      <c r="D14" s="1"/>
    </row>
    <row r="15" spans="1:4" x14ac:dyDescent="0.25">
      <c r="A15" s="1"/>
      <c r="B15" s="111"/>
      <c r="C15" s="113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4" t="s">
        <v>106</v>
      </c>
      <c r="C18" s="20"/>
      <c r="D18" s="1"/>
    </row>
    <row r="19" spans="1:4" x14ac:dyDescent="0.25">
      <c r="A19" s="1"/>
      <c r="B19" s="62" t="s">
        <v>120</v>
      </c>
      <c r="C19" s="23">
        <v>9.1000000000000004E-3</v>
      </c>
      <c r="D19" s="1"/>
    </row>
    <row r="20" spans="1:4" x14ac:dyDescent="0.25">
      <c r="A20" s="1"/>
      <c r="B20" s="62" t="s">
        <v>121</v>
      </c>
      <c r="C20" s="23">
        <v>1.77E-2</v>
      </c>
      <c r="D20" s="1"/>
    </row>
    <row r="21" spans="1:4" x14ac:dyDescent="0.25">
      <c r="A21" s="1"/>
      <c r="B21" s="62" t="s">
        <v>122</v>
      </c>
      <c r="C21" s="23">
        <v>8.6999999999999994E-3</v>
      </c>
      <c r="D21" s="1"/>
    </row>
    <row r="22" spans="1:4" x14ac:dyDescent="0.25">
      <c r="A22" s="1"/>
      <c r="B22" s="62" t="s">
        <v>123</v>
      </c>
      <c r="C22" s="35">
        <v>2.8400000000000002E-2</v>
      </c>
      <c r="D22" s="1"/>
    </row>
    <row r="23" spans="1:4" x14ac:dyDescent="0.25">
      <c r="A23" s="1"/>
      <c r="B23" s="62" t="s">
        <v>146</v>
      </c>
      <c r="C23" s="35">
        <v>2.75E-2</v>
      </c>
      <c r="D23" s="1"/>
    </row>
    <row r="24" spans="1:4" x14ac:dyDescent="0.25">
      <c r="A24" s="1"/>
      <c r="B24" s="62" t="s">
        <v>217</v>
      </c>
      <c r="C24" s="35">
        <v>1.4800000000000001E-2</v>
      </c>
      <c r="D24" s="1"/>
    </row>
    <row r="25" spans="1:4" x14ac:dyDescent="0.25">
      <c r="A25" s="1"/>
      <c r="B25" s="54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4" t="s">
        <v>107</v>
      </c>
      <c r="C28" s="20"/>
      <c r="D28" s="1"/>
    </row>
    <row r="29" spans="1:4" x14ac:dyDescent="0.25">
      <c r="A29" s="1"/>
      <c r="B29" s="62" t="s">
        <v>124</v>
      </c>
      <c r="C29" s="26">
        <v>0.02</v>
      </c>
      <c r="D29" s="1"/>
    </row>
    <row r="30" spans="1:4" x14ac:dyDescent="0.25">
      <c r="A30" s="1"/>
      <c r="B30" s="54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ZtZWhqJdOT2R3JYv8mCFArWdq+sHRC1M22XuG52wc2gtJd7gl1wticpeKd8EUeZZYjaR4tut28F0dEY1H7i+HA==" saltValue="epuO+mDBv2JZxw1YKSECAw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183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x14ac:dyDescent="0.25">
      <c r="A9" s="1"/>
      <c r="B9" s="50" t="s">
        <v>24</v>
      </c>
      <c r="C9" s="7">
        <f>'Fane 3. Omkostninger i ØR2021'!E20</f>
        <v>32921248.411234941</v>
      </c>
      <c r="D9" s="8" t="s">
        <v>3</v>
      </c>
      <c r="E9" s="1"/>
    </row>
    <row r="10" spans="1:5" x14ac:dyDescent="0.25">
      <c r="A10" s="1"/>
      <c r="B10" s="46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46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123915.38825415733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tillæg'!C12</f>
        <v>0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tillæg'!E12</f>
        <v>10592.426702666668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401674.18562518514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-379611.90134736564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-264001.08475833118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-582152.9395350652</v>
      </c>
      <c r="D21" s="8" t="s">
        <v>3</v>
      </c>
      <c r="E21" s="1"/>
    </row>
    <row r="22" spans="1:5" ht="17.100000000000001" customHeight="1" x14ac:dyDescent="0.25">
      <c r="A22" s="1"/>
      <c r="B22" s="63" t="s">
        <v>20</v>
      </c>
      <c r="C22" s="10">
        <f>SUM(C9,C12:C21)</f>
        <v>32107749.097922031</v>
      </c>
      <c r="D22" s="11" t="s">
        <v>3</v>
      </c>
      <c r="E22" s="1"/>
    </row>
    <row r="23" spans="1:5" ht="15" customHeight="1" x14ac:dyDescent="0.25">
      <c r="A23" s="1"/>
      <c r="B23" s="54" t="s">
        <v>12</v>
      </c>
      <c r="C23" s="55"/>
      <c r="D23" s="20"/>
      <c r="E23" s="1"/>
    </row>
    <row r="24" spans="1:5" ht="15" customHeight="1" x14ac:dyDescent="0.25">
      <c r="A24" s="1"/>
      <c r="B24" s="47" t="s">
        <v>12</v>
      </c>
      <c r="C24" s="10">
        <f>'Fane 6. Ikke-påvirkelige omk.'!C15</f>
        <v>20149275.828141943</v>
      </c>
      <c r="D24" s="11" t="s">
        <v>3</v>
      </c>
      <c r="E24" s="1"/>
    </row>
    <row r="25" spans="1:5" ht="15" customHeight="1" x14ac:dyDescent="0.25">
      <c r="A25" s="1"/>
      <c r="B25" s="54" t="s">
        <v>89</v>
      </c>
      <c r="C25" s="55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3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5"/>
      <c r="D29" s="20"/>
      <c r="E29" s="1"/>
    </row>
    <row r="30" spans="1:5" x14ac:dyDescent="0.25">
      <c r="A30" s="1"/>
      <c r="B30" s="66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224</v>
      </c>
      <c r="C31" s="55"/>
      <c r="D31" s="20"/>
      <c r="E31" s="1"/>
    </row>
    <row r="32" spans="1:5" x14ac:dyDescent="0.25">
      <c r="A32" s="1"/>
      <c r="B32" s="66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4" t="s">
        <v>30</v>
      </c>
      <c r="C33" s="31">
        <f>SUM(C22,C24,C28,C30,C32)</f>
        <v>52257024.92606397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j9U1EPEknYOWRQjEqGVgXMD1QDeLd6XOUKbiBO4rr6e7F9y1JKEOmIlVcN+uH1t7ISFjGKqv8gclRrvDs2P5Tg==" saltValue="irQktAbgH1Ip9jHLcqSPR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184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ht="15" customHeight="1" x14ac:dyDescent="0.25">
      <c r="A9" s="1"/>
      <c r="B9" s="50" t="s">
        <v>134</v>
      </c>
      <c r="C9" s="7">
        <f>'Fane 2.1. Økonomisk ramme 2022'!C22</f>
        <v>32107749.097922031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6" t="s">
        <v>18</v>
      </c>
      <c r="C12" s="9">
        <f>SUM(C9:C11)*'Fane 12. Nøgletal'!C14</f>
        <v>105955.5720231427</v>
      </c>
      <c r="D12" s="8" t="s">
        <v>3</v>
      </c>
      <c r="E12" s="1"/>
    </row>
    <row r="13" spans="1:5" ht="15" customHeight="1" x14ac:dyDescent="0.25">
      <c r="A13" s="1"/>
      <c r="B13" s="46" t="s">
        <v>9</v>
      </c>
      <c r="C13" s="9">
        <f>-SUM(C9:C12)*'Fane 5. Individuelt eff. krav'!G10</f>
        <v>-366859.17073420464</v>
      </c>
      <c r="D13" s="8" t="s">
        <v>3</v>
      </c>
      <c r="E13" s="1"/>
    </row>
    <row r="14" spans="1:5" ht="15" customHeight="1" x14ac:dyDescent="0.25">
      <c r="A14" s="1"/>
      <c r="B14" s="46" t="s">
        <v>25</v>
      </c>
      <c r="C14" s="9">
        <f>-'Fane 4.1. Gen. krav - drift'!G44</f>
        <v>-259574.84257127301</v>
      </c>
      <c r="D14" s="8" t="s">
        <v>3</v>
      </c>
      <c r="E14" s="1"/>
    </row>
    <row r="15" spans="1:5" ht="15" customHeight="1" x14ac:dyDescent="0.25">
      <c r="A15" s="1"/>
      <c r="B15" s="46" t="s">
        <v>26</v>
      </c>
      <c r="C15" s="9">
        <f>-'Fane 4.2. Gen. krav - anlæg'!G44</f>
        <v>-305766.61211538746</v>
      </c>
      <c r="D15" s="8" t="s">
        <v>3</v>
      </c>
      <c r="E15" s="1"/>
    </row>
    <row r="16" spans="1:5" ht="15" customHeight="1" x14ac:dyDescent="0.25">
      <c r="A16" s="1"/>
      <c r="B16" s="51" t="s">
        <v>20</v>
      </c>
      <c r="C16" s="10">
        <f>SUM(C9:C15)</f>
        <v>31281504.044524308</v>
      </c>
      <c r="D16" s="11" t="s">
        <v>3</v>
      </c>
      <c r="E16" s="1"/>
    </row>
    <row r="17" spans="1:5" x14ac:dyDescent="0.25">
      <c r="A17" s="1"/>
      <c r="B17" s="54" t="s">
        <v>12</v>
      </c>
      <c r="C17" s="55"/>
      <c r="D17" s="20"/>
      <c r="E17" s="1"/>
    </row>
    <row r="18" spans="1:5" ht="15" customHeight="1" x14ac:dyDescent="0.25">
      <c r="A18" s="1"/>
      <c r="B18" s="47" t="s">
        <v>12</v>
      </c>
      <c r="C18" s="10">
        <f>'Fane 6. Ikke-påvirkelige omk.'!C15*(1+'Fane 12. Nøgletal'!C14)</f>
        <v>20215768.438374814</v>
      </c>
      <c r="D18" s="11" t="s">
        <v>3</v>
      </c>
      <c r="E18" s="1"/>
    </row>
    <row r="19" spans="1:5" ht="15" customHeight="1" x14ac:dyDescent="0.25">
      <c r="A19" s="1"/>
      <c r="B19" s="54" t="s">
        <v>89</v>
      </c>
      <c r="C19" s="55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3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5"/>
      <c r="D23" s="20"/>
      <c r="E23" s="1"/>
    </row>
    <row r="24" spans="1:5" ht="15" customHeight="1" x14ac:dyDescent="0.25">
      <c r="A24" s="1"/>
      <c r="B24" s="66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224</v>
      </c>
      <c r="C25" s="55"/>
      <c r="D25" s="20"/>
      <c r="E25" s="1"/>
    </row>
    <row r="26" spans="1:5" x14ac:dyDescent="0.25">
      <c r="A26" s="1"/>
      <c r="B26" s="66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54" t="s">
        <v>97</v>
      </c>
      <c r="C27" s="12">
        <f>SUM(C16,C18,C22,C24,C26)</f>
        <v>51497272.482899122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Tz6A65AXX0BZySSP0VV6K5xOxdS7EOKY1a5DnDei1ruUUBSqN5GWOL8sswQjAP09wQXeCTUkEuHAA6I6hMqNYQ==" saltValue="n1iFPbn2nuydb13+HuZVw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185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0" t="s">
        <v>135</v>
      </c>
      <c r="C8" s="7">
        <f>'Fane 2.2. Økonomisk ramme 2023'!C16</f>
        <v>31281504.044524308</v>
      </c>
      <c r="D8" s="8" t="s">
        <v>3</v>
      </c>
      <c r="E8" s="1"/>
    </row>
    <row r="9" spans="1:5" ht="15" customHeight="1" x14ac:dyDescent="0.25">
      <c r="A9" s="1"/>
      <c r="B9" s="50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0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103228.96334693022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-357418.59692791611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drift'!G50</f>
        <v>-255222.81076072305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43">
        <f>-'Fane 4.2. Gen. krav - anlæg'!G50</f>
        <v>-302235.36243472487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30469856.237747878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47" t="s">
        <v>12</v>
      </c>
      <c r="C17" s="10">
        <f>'Fane 6. Ikke-påvirkelige omk.'!C15*(1+'Fane 12. Nøgletal'!C14)^2</f>
        <v>20282480.474221449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47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5"/>
      <c r="D24" s="20"/>
      <c r="E24" s="1"/>
    </row>
    <row r="25" spans="1:5" ht="15" customHeight="1" x14ac:dyDescent="0.25">
      <c r="A25" s="1"/>
      <c r="B25" s="66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186</v>
      </c>
      <c r="C26" s="12">
        <f>SUM(C15,C17,C21,C23,C25)</f>
        <v>50752336.711969331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dOFY5CFgFvhocuT555E9mdub7mzaY3v+aAiHtLen5ineV3GT0JslkC7r99tRCExU6t2GYZQIzvQRoEFgVsszOQ==" saltValue="0+hpYG445ptKJ8oowYKW2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187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0" t="s">
        <v>188</v>
      </c>
      <c r="C8" s="7">
        <f>'Fane 2.3. Økonomisk ramme 2024'!C15</f>
        <v>30469856.237747878</v>
      </c>
      <c r="D8" s="8" t="s">
        <v>3</v>
      </c>
      <c r="E8" s="1"/>
    </row>
    <row r="9" spans="1:5" ht="15" customHeight="1" x14ac:dyDescent="0.25">
      <c r="A9" s="1"/>
      <c r="B9" s="50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0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100550.52558456799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-348144.80945642036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drift'!G56</f>
        <v>-250943.74511550879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9">
        <f>-'Fane 4.2. Gen. krav - anlæg'!G56</f>
        <v>-298744.89459162421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29672573.314168893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47" t="s">
        <v>12</v>
      </c>
      <c r="C17" s="10">
        <f>'Fane 6. Ikke-påvirkelige omk.'!C15*(1+'Fane 12. Nøgletal'!C14)^3</f>
        <v>20349412.659786385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47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5"/>
      <c r="D24" s="20"/>
      <c r="E24" s="1"/>
    </row>
    <row r="25" spans="1:5" x14ac:dyDescent="0.25">
      <c r="A25" s="1"/>
      <c r="B25" s="66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189</v>
      </c>
      <c r="C26" s="12">
        <f>SUM(C15,C17,C21,C23,C25)</f>
        <v>50021985.973955274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8GnRp4Yb87+bGWiGiVrZz1lvIr8LxeMzHIp3r/qXZ44RcO9BTkOsCC/2AlAlG3apTnGpw0c6im3jQeBHvsfNMg==" saltValue="1UelHwnyqe2MlEDc2ysu9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190</v>
      </c>
      <c r="C3" s="96"/>
      <c r="D3" s="96"/>
      <c r="E3" s="96"/>
      <c r="F3" s="96"/>
      <c r="G3" s="1"/>
    </row>
    <row r="4" spans="1:7" ht="29.2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223</v>
      </c>
      <c r="C8" s="55"/>
      <c r="D8" s="55"/>
      <c r="E8" s="55"/>
      <c r="F8" s="20"/>
      <c r="G8" s="1"/>
    </row>
    <row r="9" spans="1:7" x14ac:dyDescent="0.25">
      <c r="A9" s="1"/>
      <c r="B9" s="97" t="s">
        <v>23</v>
      </c>
      <c r="C9" s="98"/>
      <c r="D9" s="99"/>
      <c r="E9" s="7">
        <v>33628545.183270484</v>
      </c>
      <c r="F9" s="8" t="s">
        <v>3</v>
      </c>
      <c r="G9" s="1"/>
    </row>
    <row r="10" spans="1:7" ht="15" customHeight="1" x14ac:dyDescent="0.25">
      <c r="A10" s="1"/>
      <c r="B10" s="90" t="s">
        <v>40</v>
      </c>
      <c r="C10" s="91"/>
      <c r="D10" s="92"/>
      <c r="E10" s="9">
        <v>0</v>
      </c>
      <c r="F10" s="8" t="s">
        <v>3</v>
      </c>
      <c r="G10" s="1"/>
    </row>
    <row r="11" spans="1:7" ht="15" customHeight="1" x14ac:dyDescent="0.25">
      <c r="A11" s="1"/>
      <c r="B11" s="90" t="s">
        <v>41</v>
      </c>
      <c r="C11" s="91"/>
      <c r="D11" s="92"/>
      <c r="E11" s="9">
        <v>127375.24799999999</v>
      </c>
      <c r="F11" s="8" t="s">
        <v>3</v>
      </c>
      <c r="G11" s="1"/>
    </row>
    <row r="12" spans="1:7" x14ac:dyDescent="0.25">
      <c r="A12" s="1"/>
      <c r="B12" s="90" t="s">
        <v>28</v>
      </c>
      <c r="C12" s="91"/>
      <c r="D12" s="92"/>
      <c r="E12" s="9">
        <v>0</v>
      </c>
      <c r="F12" s="8" t="s">
        <v>3</v>
      </c>
      <c r="G12" s="1"/>
    </row>
    <row r="13" spans="1:7" x14ac:dyDescent="0.25">
      <c r="A13" s="1"/>
      <c r="B13" s="90" t="s">
        <v>27</v>
      </c>
      <c r="C13" s="91"/>
      <c r="D13" s="92"/>
      <c r="E13" s="9">
        <v>0</v>
      </c>
      <c r="F13" s="8" t="s">
        <v>3</v>
      </c>
      <c r="G13" s="1"/>
    </row>
    <row r="14" spans="1:7" x14ac:dyDescent="0.25">
      <c r="A14" s="1"/>
      <c r="B14" s="90" t="s">
        <v>132</v>
      </c>
      <c r="C14" s="91"/>
      <c r="D14" s="92"/>
      <c r="E14" s="9">
        <v>0</v>
      </c>
      <c r="F14" s="8" t="s">
        <v>3</v>
      </c>
      <c r="G14" s="1"/>
    </row>
    <row r="15" spans="1:7" x14ac:dyDescent="0.25">
      <c r="A15" s="1"/>
      <c r="B15" s="90" t="s">
        <v>133</v>
      </c>
      <c r="C15" s="91"/>
      <c r="D15" s="92"/>
      <c r="E15" s="9">
        <v>0</v>
      </c>
      <c r="F15" s="8" t="s">
        <v>3</v>
      </c>
      <c r="G15" s="1"/>
    </row>
    <row r="16" spans="1:7" x14ac:dyDescent="0.25">
      <c r="A16" s="1"/>
      <c r="B16" s="90" t="s">
        <v>18</v>
      </c>
      <c r="C16" s="91"/>
      <c r="D16" s="92"/>
      <c r="E16" s="9">
        <v>411822.22926149995</v>
      </c>
      <c r="F16" s="8" t="s">
        <v>3</v>
      </c>
      <c r="G16" s="1"/>
    </row>
    <row r="17" spans="1:7" x14ac:dyDescent="0.25">
      <c r="A17" s="1"/>
      <c r="B17" s="90" t="s">
        <v>9</v>
      </c>
      <c r="C17" s="91"/>
      <c r="D17" s="92"/>
      <c r="E17" s="9">
        <v>-389112.33174609614</v>
      </c>
      <c r="F17" s="8" t="s">
        <v>3</v>
      </c>
      <c r="G17" s="1"/>
    </row>
    <row r="18" spans="1:7" x14ac:dyDescent="0.25">
      <c r="A18" s="1"/>
      <c r="B18" s="90" t="s">
        <v>25</v>
      </c>
      <c r="C18" s="91"/>
      <c r="D18" s="92"/>
      <c r="E18" s="9">
        <v>-266141.93044684565</v>
      </c>
      <c r="F18" s="8" t="s">
        <v>3</v>
      </c>
      <c r="G18" s="1"/>
    </row>
    <row r="19" spans="1:7" x14ac:dyDescent="0.25">
      <c r="A19" s="1"/>
      <c r="B19" s="90" t="s">
        <v>26</v>
      </c>
      <c r="C19" s="91"/>
      <c r="D19" s="92"/>
      <c r="E19" s="9">
        <v>-591239.98710411182</v>
      </c>
      <c r="F19" s="8" t="s">
        <v>3</v>
      </c>
      <c r="G19" s="1"/>
    </row>
    <row r="20" spans="1:7" x14ac:dyDescent="0.25">
      <c r="A20" s="1"/>
      <c r="B20" s="103" t="s">
        <v>20</v>
      </c>
      <c r="C20" s="104"/>
      <c r="D20" s="105"/>
      <c r="E20" s="10">
        <f>SUM(E9:E19)</f>
        <v>32921248.411234941</v>
      </c>
      <c r="F20" s="11" t="s">
        <v>3</v>
      </c>
      <c r="G20" s="1"/>
    </row>
    <row r="21" spans="1:7" x14ac:dyDescent="0.25">
      <c r="A21" s="1"/>
      <c r="B21" s="54" t="s">
        <v>12</v>
      </c>
      <c r="C21" s="55"/>
      <c r="D21" s="55"/>
      <c r="E21" s="55"/>
      <c r="F21" s="20"/>
      <c r="G21" s="1"/>
    </row>
    <row r="22" spans="1:7" x14ac:dyDescent="0.25">
      <c r="A22" s="1"/>
      <c r="B22" s="93" t="s">
        <v>12</v>
      </c>
      <c r="C22" s="94"/>
      <c r="D22" s="95"/>
      <c r="E22" s="10">
        <v>22010439.079906199</v>
      </c>
      <c r="F22" s="11" t="s">
        <v>3</v>
      </c>
      <c r="G22" s="1"/>
    </row>
    <row r="23" spans="1:7" ht="15" customHeight="1" x14ac:dyDescent="0.25">
      <c r="A23" s="1"/>
      <c r="B23" s="109" t="s">
        <v>89</v>
      </c>
      <c r="C23" s="110"/>
      <c r="D23" s="110"/>
      <c r="E23" s="55"/>
      <c r="F23" s="55"/>
      <c r="G23" s="1"/>
    </row>
    <row r="24" spans="1:7" ht="14.25" customHeight="1" x14ac:dyDescent="0.25">
      <c r="A24" s="1"/>
      <c r="B24" s="100" t="s">
        <v>85</v>
      </c>
      <c r="C24" s="101"/>
      <c r="D24" s="102"/>
      <c r="E24" s="9">
        <v>0</v>
      </c>
      <c r="F24" s="8" t="s">
        <v>3</v>
      </c>
      <c r="G24" s="1"/>
    </row>
    <row r="25" spans="1:7" ht="14.25" customHeight="1" x14ac:dyDescent="0.25">
      <c r="A25" s="1"/>
      <c r="B25" s="100" t="s">
        <v>86</v>
      </c>
      <c r="C25" s="101"/>
      <c r="D25" s="102"/>
      <c r="E25" s="9">
        <v>0</v>
      </c>
      <c r="F25" s="8" t="s">
        <v>3</v>
      </c>
      <c r="G25" s="1"/>
    </row>
    <row r="26" spans="1:7" x14ac:dyDescent="0.25">
      <c r="A26" s="1"/>
      <c r="B26" s="106" t="s">
        <v>90</v>
      </c>
      <c r="C26" s="107"/>
      <c r="D26" s="107"/>
      <c r="E26" s="10">
        <v>0</v>
      </c>
      <c r="F26" s="11" t="s">
        <v>3</v>
      </c>
      <c r="G26" s="1"/>
    </row>
    <row r="27" spans="1:7" x14ac:dyDescent="0.25">
      <c r="A27" s="1"/>
      <c r="B27" s="54" t="s">
        <v>161</v>
      </c>
      <c r="C27" s="55"/>
      <c r="D27" s="55"/>
      <c r="E27" s="55"/>
      <c r="F27" s="20"/>
      <c r="G27" s="1"/>
    </row>
    <row r="28" spans="1:7" ht="15" customHeight="1" x14ac:dyDescent="0.25">
      <c r="A28" s="1"/>
      <c r="B28" s="106" t="s">
        <v>162</v>
      </c>
      <c r="C28" s="107"/>
      <c r="D28" s="108"/>
      <c r="E28" s="10">
        <v>0</v>
      </c>
      <c r="F28" s="11" t="s">
        <v>3</v>
      </c>
      <c r="G28" s="1"/>
    </row>
    <row r="29" spans="1:7" x14ac:dyDescent="0.25">
      <c r="A29" s="1"/>
      <c r="B29" s="54" t="s">
        <v>254</v>
      </c>
      <c r="C29" s="55"/>
      <c r="D29" s="55"/>
      <c r="E29" s="55"/>
      <c r="F29" s="20"/>
      <c r="G29" s="1"/>
    </row>
    <row r="30" spans="1:7" ht="15.6" customHeight="1" x14ac:dyDescent="0.25">
      <c r="A30" s="1"/>
      <c r="B30" s="93" t="s">
        <v>255</v>
      </c>
      <c r="C30" s="94"/>
      <c r="D30" s="95"/>
      <c r="E30" s="10">
        <v>0</v>
      </c>
      <c r="F30" s="11" t="s">
        <v>3</v>
      </c>
      <c r="G30" s="1"/>
    </row>
    <row r="31" spans="1:7" x14ac:dyDescent="0.25">
      <c r="A31" s="1"/>
      <c r="B31" s="54" t="s">
        <v>29</v>
      </c>
      <c r="C31" s="55"/>
      <c r="D31" s="55"/>
      <c r="E31" s="12">
        <f>E20+E22+E26+E28+E30</f>
        <v>54931687.49114114</v>
      </c>
      <c r="F31" s="13" t="s">
        <v>3</v>
      </c>
      <c r="G31" s="1"/>
    </row>
    <row r="32" spans="1:7" ht="27.75" customHeight="1" x14ac:dyDescent="0.25">
      <c r="A32" s="1"/>
      <c r="B32" s="100" t="s">
        <v>191</v>
      </c>
      <c r="C32" s="101"/>
      <c r="D32" s="101"/>
      <c r="E32" s="101"/>
      <c r="F32" s="10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PU59F04LQvShXA85C4LMG3+WWSw1u0GQyYn7QXSSQxK+veJncFFnFS9PvjhLw+NNssqd4NuD/3O6ensDNETgLw==" saltValue="fdnKfFn2mk8Wi7Y2dXJb+Q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6" t="s">
        <v>115</v>
      </c>
      <c r="C1" s="96"/>
      <c r="D1" s="96"/>
      <c r="E1" s="96"/>
      <c r="F1" s="96"/>
      <c r="G1" s="96"/>
      <c r="H1" s="96"/>
      <c r="I1" s="1"/>
    </row>
    <row r="2" spans="1:9" ht="15" customHeight="1" x14ac:dyDescent="0.25">
      <c r="A2" s="1"/>
      <c r="B2" s="96"/>
      <c r="C2" s="96"/>
      <c r="D2" s="96"/>
      <c r="E2" s="96"/>
      <c r="F2" s="96"/>
      <c r="G2" s="96"/>
      <c r="H2" s="96"/>
      <c r="I2" s="1"/>
    </row>
    <row r="3" spans="1:9" ht="15" customHeight="1" x14ac:dyDescent="0.25">
      <c r="A3" s="1"/>
      <c r="B3" s="96"/>
      <c r="C3" s="96"/>
      <c r="D3" s="96"/>
      <c r="E3" s="96"/>
      <c r="F3" s="96"/>
      <c r="G3" s="96"/>
      <c r="H3" s="96"/>
      <c r="I3" s="1"/>
    </row>
    <row r="4" spans="1:9" x14ac:dyDescent="0.25">
      <c r="A4" s="1"/>
      <c r="B4" s="111" t="s">
        <v>54</v>
      </c>
      <c r="C4" s="112"/>
      <c r="D4" s="112"/>
      <c r="E4" s="112"/>
      <c r="F4" s="112"/>
      <c r="G4" s="112"/>
      <c r="H4" s="113"/>
      <c r="I4" s="1"/>
    </row>
    <row r="5" spans="1:9" x14ac:dyDescent="0.25">
      <c r="A5" s="1"/>
      <c r="B5" s="114" t="s">
        <v>43</v>
      </c>
      <c r="C5" s="115"/>
      <c r="D5" s="115"/>
      <c r="E5" s="115"/>
      <c r="F5" s="116"/>
      <c r="G5" s="24">
        <v>13610540</v>
      </c>
      <c r="H5" s="14" t="s">
        <v>3</v>
      </c>
      <c r="I5" s="1"/>
    </row>
    <row r="6" spans="1:9" x14ac:dyDescent="0.25">
      <c r="A6" s="1"/>
      <c r="B6" s="114" t="s">
        <v>44</v>
      </c>
      <c r="C6" s="115"/>
      <c r="D6" s="115"/>
      <c r="E6" s="115"/>
      <c r="F6" s="116"/>
      <c r="G6" s="24">
        <f>G5*'Fane 12. Nøgletal'!C29</f>
        <v>272210.8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1" t="s">
        <v>55</v>
      </c>
      <c r="C9" s="112"/>
      <c r="D9" s="112"/>
      <c r="E9" s="112"/>
      <c r="F9" s="112"/>
      <c r="G9" s="112"/>
      <c r="H9" s="113"/>
      <c r="I9" s="1"/>
    </row>
    <row r="10" spans="1:9" x14ac:dyDescent="0.25">
      <c r="A10" s="1"/>
      <c r="B10" s="114" t="s">
        <v>45</v>
      </c>
      <c r="C10" s="115"/>
      <c r="D10" s="115"/>
      <c r="E10" s="115"/>
      <c r="F10" s="116"/>
      <c r="G10" s="24">
        <f>(G5-G6)*(1+'Fane 12. Nøgletal'!C9)</f>
        <v>13507725.980839998</v>
      </c>
      <c r="H10" s="14" t="s">
        <v>3</v>
      </c>
      <c r="I10" s="1"/>
    </row>
    <row r="11" spans="1:9" x14ac:dyDescent="0.25">
      <c r="A11" s="1"/>
      <c r="B11" s="117" t="s">
        <v>46</v>
      </c>
      <c r="C11" s="118"/>
      <c r="D11" s="118"/>
      <c r="E11" s="118"/>
      <c r="F11" s="119"/>
      <c r="G11" s="9">
        <v>0</v>
      </c>
      <c r="H11" s="14" t="s">
        <v>3</v>
      </c>
      <c r="I11" s="1"/>
    </row>
    <row r="12" spans="1:9" x14ac:dyDescent="0.25">
      <c r="A12" s="1"/>
      <c r="B12" s="114" t="s">
        <v>47</v>
      </c>
      <c r="C12" s="115"/>
      <c r="D12" s="115"/>
      <c r="E12" s="115"/>
      <c r="F12" s="116"/>
      <c r="G12" s="24">
        <f>(G10+G11)*'Fane 12. Nøgletal'!C29</f>
        <v>270154.51961679995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1" t="s">
        <v>56</v>
      </c>
      <c r="C15" s="112"/>
      <c r="D15" s="112"/>
      <c r="E15" s="112"/>
      <c r="F15" s="112"/>
      <c r="G15" s="112"/>
      <c r="H15" s="113"/>
      <c r="I15" s="1"/>
    </row>
    <row r="16" spans="1:9" x14ac:dyDescent="0.25">
      <c r="A16" s="1"/>
      <c r="B16" s="114" t="s">
        <v>48</v>
      </c>
      <c r="C16" s="115"/>
      <c r="D16" s="115"/>
      <c r="E16" s="115"/>
      <c r="F16" s="116"/>
      <c r="G16" s="24">
        <f>(G10+G11-G12)*(1+'Fane 12. Nøgletal'!C11)</f>
        <v>13461286.418917868</v>
      </c>
      <c r="H16" s="14" t="s">
        <v>3</v>
      </c>
      <c r="I16" s="1"/>
    </row>
    <row r="17" spans="1:9" x14ac:dyDescent="0.25">
      <c r="A17" s="1"/>
      <c r="B17" s="114" t="s">
        <v>125</v>
      </c>
      <c r="C17" s="115"/>
      <c r="D17" s="115"/>
      <c r="E17" s="115"/>
      <c r="F17" s="116"/>
      <c r="G17" s="24">
        <v>0.32224009438333751</v>
      </c>
      <c r="H17" s="14" t="s">
        <v>3</v>
      </c>
      <c r="I17" s="1"/>
    </row>
    <row r="18" spans="1:9" x14ac:dyDescent="0.25">
      <c r="A18" s="1"/>
      <c r="B18" s="117" t="s">
        <v>49</v>
      </c>
      <c r="C18" s="118"/>
      <c r="D18" s="118"/>
      <c r="E18" s="118"/>
      <c r="F18" s="119"/>
      <c r="G18" s="9">
        <v>0</v>
      </c>
      <c r="H18" s="14" t="s">
        <v>3</v>
      </c>
      <c r="I18" s="1"/>
    </row>
    <row r="19" spans="1:9" x14ac:dyDescent="0.25">
      <c r="A19" s="1"/>
      <c r="B19" s="114" t="s">
        <v>50</v>
      </c>
      <c r="C19" s="115"/>
      <c r="D19" s="115"/>
      <c r="E19" s="115"/>
      <c r="F19" s="116"/>
      <c r="G19" s="24">
        <f>SUM(G16:G18)*'Fane 12. Nøgletal'!C29</f>
        <v>269225.73482315923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1" t="s">
        <v>57</v>
      </c>
      <c r="C22" s="112"/>
      <c r="D22" s="112"/>
      <c r="E22" s="112"/>
      <c r="F22" s="112"/>
      <c r="G22" s="112"/>
      <c r="H22" s="113"/>
      <c r="I22" s="1"/>
    </row>
    <row r="23" spans="1:9" x14ac:dyDescent="0.25">
      <c r="A23" s="1"/>
      <c r="B23" s="114" t="s">
        <v>51</v>
      </c>
      <c r="C23" s="115"/>
      <c r="D23" s="115"/>
      <c r="E23" s="115"/>
      <c r="F23" s="116"/>
      <c r="G23" s="24">
        <f>(SUM(G16:G18)-G19)*(1+'Fane 12. Nøgletal'!C11)</f>
        <v>13415006.83734186</v>
      </c>
      <c r="H23" s="14" t="s">
        <v>3</v>
      </c>
      <c r="I23" s="1"/>
    </row>
    <row r="24" spans="1:9" x14ac:dyDescent="0.25">
      <c r="A24" s="1"/>
      <c r="B24" s="117" t="s">
        <v>52</v>
      </c>
      <c r="C24" s="118"/>
      <c r="D24" s="118"/>
      <c r="E24" s="118"/>
      <c r="F24" s="119"/>
      <c r="G24" s="9">
        <v>0</v>
      </c>
      <c r="H24" s="14" t="s">
        <v>3</v>
      </c>
      <c r="I24" s="1"/>
    </row>
    <row r="25" spans="1:9" x14ac:dyDescent="0.25">
      <c r="A25" s="1"/>
      <c r="B25" s="114" t="s">
        <v>53</v>
      </c>
      <c r="C25" s="115"/>
      <c r="D25" s="115"/>
      <c r="E25" s="115"/>
      <c r="F25" s="116"/>
      <c r="G25" s="24">
        <f>(G23+G24)*'Fane 12. Nøgletal'!C29</f>
        <v>268300.13674683718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1" t="s">
        <v>175</v>
      </c>
      <c r="C28" s="112"/>
      <c r="D28" s="112"/>
      <c r="E28" s="112"/>
      <c r="F28" s="112"/>
      <c r="G28" s="112"/>
      <c r="H28" s="113"/>
      <c r="I28" s="1"/>
    </row>
    <row r="29" spans="1:9" x14ac:dyDescent="0.25">
      <c r="A29" s="1"/>
      <c r="B29" s="114" t="s">
        <v>60</v>
      </c>
      <c r="C29" s="115"/>
      <c r="D29" s="115"/>
      <c r="E29" s="115"/>
      <c r="F29" s="116"/>
      <c r="G29" s="24">
        <f>(G23+G24-G25)*(1+'Fane 12. Nøgletal'!C13)</f>
        <v>13307096.522342281</v>
      </c>
      <c r="H29" s="14" t="s">
        <v>3</v>
      </c>
      <c r="I29" s="1"/>
    </row>
    <row r="30" spans="1:9" x14ac:dyDescent="0.25">
      <c r="A30" s="1"/>
      <c r="B30" s="114" t="s">
        <v>147</v>
      </c>
      <c r="C30" s="115"/>
      <c r="D30" s="115"/>
      <c r="E30" s="115"/>
      <c r="F30" s="116"/>
      <c r="G30" s="9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4" t="s">
        <v>159</v>
      </c>
      <c r="C31" s="115"/>
      <c r="D31" s="115"/>
      <c r="E31" s="115"/>
      <c r="F31" s="116"/>
      <c r="G31" s="24">
        <f>(G29+G30)*'Fane 12. Nøgletal'!C29</f>
        <v>266141.93044684565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1" t="s">
        <v>176</v>
      </c>
      <c r="C34" s="112"/>
      <c r="D34" s="112"/>
      <c r="E34" s="112"/>
      <c r="F34" s="112"/>
      <c r="G34" s="112"/>
      <c r="H34" s="113"/>
      <c r="I34" s="1"/>
    </row>
    <row r="35" spans="1:9" x14ac:dyDescent="0.25">
      <c r="A35" s="1"/>
      <c r="B35" s="114" t="s">
        <v>80</v>
      </c>
      <c r="C35" s="115"/>
      <c r="D35" s="115"/>
      <c r="E35" s="115"/>
      <c r="F35" s="116"/>
      <c r="G35" s="24">
        <f>(G29+G30-G31)*(1+'Fane 12. Nøgletal'!C13)</f>
        <v>13200054.237916559</v>
      </c>
      <c r="H35" s="14" t="s">
        <v>3</v>
      </c>
      <c r="I35" s="1"/>
    </row>
    <row r="36" spans="1:9" x14ac:dyDescent="0.25">
      <c r="A36" s="1"/>
      <c r="B36" s="37" t="s">
        <v>192</v>
      </c>
      <c r="C36" s="60"/>
      <c r="D36" s="60"/>
      <c r="E36" s="60"/>
      <c r="F36" s="61"/>
      <c r="G36" s="9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4" t="s">
        <v>221</v>
      </c>
      <c r="C37" s="115"/>
      <c r="D37" s="115"/>
      <c r="E37" s="115"/>
      <c r="F37" s="116"/>
      <c r="G37" s="9">
        <f>SUM('Fane 2.1. Økonomisk ramme 2022'!C12,'Fane 2.1. Økonomisk ramme 2022'!C14,'Fane 2.1. Økonomisk ramme 2022'!C16)*(1+'Fane 12. Nøgletal'!C14)</f>
        <v>0</v>
      </c>
      <c r="H37" s="14" t="s">
        <v>3</v>
      </c>
      <c r="I37" s="1"/>
    </row>
    <row r="38" spans="1:9" x14ac:dyDescent="0.25">
      <c r="A38" s="1"/>
      <c r="B38" s="114" t="s">
        <v>177</v>
      </c>
      <c r="C38" s="115"/>
      <c r="D38" s="115"/>
      <c r="E38" s="115"/>
      <c r="F38" s="116"/>
      <c r="G38" s="24">
        <f>(G35+G37)*'Fane 12. Nøgletal'!C29</f>
        <v>264001.08475833118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1" t="s">
        <v>81</v>
      </c>
      <c r="C41" s="112"/>
      <c r="D41" s="112"/>
      <c r="E41" s="112"/>
      <c r="F41" s="112"/>
      <c r="G41" s="112"/>
      <c r="H41" s="113"/>
      <c r="I41" s="1"/>
    </row>
    <row r="42" spans="1:9" x14ac:dyDescent="0.25">
      <c r="A42" s="1"/>
      <c r="B42" s="114" t="s">
        <v>79</v>
      </c>
      <c r="C42" s="115"/>
      <c r="D42" s="115"/>
      <c r="E42" s="115"/>
      <c r="F42" s="116"/>
      <c r="G42" s="24">
        <f>(G35+G37-G38)*(1+'Fane 12. Nøgletal'!C14)</f>
        <v>12978742.12856365</v>
      </c>
      <c r="H42" s="14" t="s">
        <v>3</v>
      </c>
      <c r="I42" s="1"/>
    </row>
    <row r="43" spans="1:9" x14ac:dyDescent="0.25">
      <c r="A43" s="1"/>
      <c r="B43" s="114" t="s">
        <v>92</v>
      </c>
      <c r="C43" s="115"/>
      <c r="D43" s="115"/>
      <c r="E43" s="115"/>
      <c r="F43" s="116"/>
      <c r="G43" s="9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4" t="s">
        <v>61</v>
      </c>
      <c r="C44" s="115"/>
      <c r="D44" s="115"/>
      <c r="E44" s="115"/>
      <c r="F44" s="116"/>
      <c r="G44" s="24">
        <f>(G42+G43)*'Fane 12. Nøgletal'!C29</f>
        <v>259574.84257127301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1" t="s">
        <v>148</v>
      </c>
      <c r="C47" s="112"/>
      <c r="D47" s="112"/>
      <c r="E47" s="112"/>
      <c r="F47" s="112"/>
      <c r="G47" s="112"/>
      <c r="H47" s="113"/>
      <c r="I47" s="1"/>
    </row>
    <row r="48" spans="1:9" x14ac:dyDescent="0.25">
      <c r="A48" s="1"/>
      <c r="B48" s="114" t="s">
        <v>149</v>
      </c>
      <c r="C48" s="115"/>
      <c r="D48" s="115"/>
      <c r="E48" s="115"/>
      <c r="F48" s="116"/>
      <c r="G48" s="24">
        <f>(G42+G43-G44)*(1+'Fane 12. Nøgletal'!C14)</f>
        <v>12761140.538036153</v>
      </c>
      <c r="H48" s="14" t="s">
        <v>3</v>
      </c>
      <c r="I48" s="1"/>
    </row>
    <row r="49" spans="1:9" x14ac:dyDescent="0.25">
      <c r="A49" s="1"/>
      <c r="B49" s="114" t="s">
        <v>150</v>
      </c>
      <c r="C49" s="115"/>
      <c r="D49" s="115"/>
      <c r="E49" s="115"/>
      <c r="F49" s="116"/>
      <c r="G49" s="9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4" t="s">
        <v>151</v>
      </c>
      <c r="C50" s="115"/>
      <c r="D50" s="115"/>
      <c r="E50" s="115"/>
      <c r="F50" s="116"/>
      <c r="G50" s="24">
        <f>(G48+G49)*'Fane 12. Nøgletal'!C29</f>
        <v>255222.81076072305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1" t="s">
        <v>198</v>
      </c>
      <c r="C53" s="112"/>
      <c r="D53" s="112"/>
      <c r="E53" s="112"/>
      <c r="F53" s="112"/>
      <c r="G53" s="112"/>
      <c r="H53" s="113"/>
      <c r="I53" s="1"/>
    </row>
    <row r="54" spans="1:9" x14ac:dyDescent="0.25">
      <c r="A54" s="1"/>
      <c r="B54" s="114" t="s">
        <v>199</v>
      </c>
      <c r="C54" s="115"/>
      <c r="D54" s="115"/>
      <c r="E54" s="115"/>
      <c r="F54" s="116"/>
      <c r="G54" s="24">
        <f>(G48+G49-G50)*(1+'Fane 12. Nøgletal'!C14)</f>
        <v>12547187.255775439</v>
      </c>
      <c r="H54" s="14" t="s">
        <v>3</v>
      </c>
      <c r="I54" s="1"/>
    </row>
    <row r="55" spans="1:9" x14ac:dyDescent="0.25">
      <c r="A55" s="1"/>
      <c r="B55" s="114" t="s">
        <v>200</v>
      </c>
      <c r="C55" s="115"/>
      <c r="D55" s="115"/>
      <c r="E55" s="115"/>
      <c r="F55" s="116"/>
      <c r="G55" s="9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4" t="s">
        <v>201</v>
      </c>
      <c r="C56" s="115"/>
      <c r="D56" s="115"/>
      <c r="E56" s="115"/>
      <c r="F56" s="116"/>
      <c r="G56" s="24">
        <f>(G54+G55)*'Fane 12. Nøgletal'!C29</f>
        <v>250943.74511550879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CSBbqj6iW2aca4l9TL9T7gbOAqvojjeCP8K2zamzbWVqHDKd4bbLmlB6cjVzmm0C6Z4+/eNA3iXS8HYp6nuMWw==" saltValue="jDq1jbQxvI3FiAzkvXmvqg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0" t="s">
        <v>116</v>
      </c>
      <c r="C1" s="121"/>
      <c r="D1" s="121"/>
      <c r="E1" s="121"/>
      <c r="F1" s="121"/>
      <c r="G1" s="121"/>
      <c r="H1" s="121"/>
      <c r="I1" s="1"/>
    </row>
    <row r="2" spans="1:9" ht="19.899999999999999" customHeight="1" x14ac:dyDescent="0.25">
      <c r="A2" s="1"/>
      <c r="B2" s="121"/>
      <c r="C2" s="121"/>
      <c r="D2" s="121"/>
      <c r="E2" s="121"/>
      <c r="F2" s="121"/>
      <c r="G2" s="121"/>
      <c r="H2" s="121"/>
      <c r="I2" s="1"/>
    </row>
    <row r="3" spans="1:9" ht="15" customHeight="1" x14ac:dyDescent="0.25">
      <c r="A3" s="1"/>
      <c r="B3" s="122"/>
      <c r="C3" s="122"/>
      <c r="D3" s="122"/>
      <c r="E3" s="122"/>
      <c r="F3" s="122"/>
      <c r="G3" s="122"/>
      <c r="H3" s="122"/>
      <c r="I3" s="1"/>
    </row>
    <row r="4" spans="1:9" x14ac:dyDescent="0.25">
      <c r="A4" s="1"/>
      <c r="B4" s="111" t="s">
        <v>58</v>
      </c>
      <c r="C4" s="112"/>
      <c r="D4" s="112"/>
      <c r="E4" s="112"/>
      <c r="F4" s="112"/>
      <c r="G4" s="112"/>
      <c r="H4" s="113"/>
      <c r="I4" s="1"/>
    </row>
    <row r="5" spans="1:9" x14ac:dyDescent="0.25">
      <c r="A5" s="1"/>
      <c r="B5" s="114" t="s">
        <v>62</v>
      </c>
      <c r="C5" s="115"/>
      <c r="D5" s="115"/>
      <c r="E5" s="115"/>
      <c r="F5" s="116"/>
      <c r="G5" s="24">
        <v>17261033</v>
      </c>
      <c r="H5" s="14" t="s">
        <v>3</v>
      </c>
      <c r="I5" s="1"/>
    </row>
    <row r="6" spans="1:9" x14ac:dyDescent="0.25">
      <c r="A6" s="1"/>
      <c r="B6" s="114" t="s">
        <v>59</v>
      </c>
      <c r="C6" s="115"/>
      <c r="D6" s="115"/>
      <c r="E6" s="115"/>
      <c r="F6" s="116"/>
      <c r="G6" s="24">
        <f>G5*'Fane 12. Nøgletal'!C19</f>
        <v>157075.40030000001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1" t="s">
        <v>63</v>
      </c>
      <c r="C9" s="112"/>
      <c r="D9" s="112"/>
      <c r="E9" s="112"/>
      <c r="F9" s="112"/>
      <c r="G9" s="112"/>
      <c r="H9" s="113"/>
      <c r="I9" s="1"/>
    </row>
    <row r="10" spans="1:9" x14ac:dyDescent="0.25">
      <c r="A10" s="1"/>
      <c r="B10" s="114" t="s">
        <v>64</v>
      </c>
      <c r="C10" s="115"/>
      <c r="D10" s="115"/>
      <c r="E10" s="115"/>
      <c r="F10" s="116"/>
      <c r="G10" s="24">
        <f>(G5-G6)*(1+'Fane 12. Nøgletal'!C9)</f>
        <v>17321177.861216187</v>
      </c>
      <c r="H10" s="14" t="s">
        <v>3</v>
      </c>
      <c r="I10" s="1"/>
    </row>
    <row r="11" spans="1:9" x14ac:dyDescent="0.25">
      <c r="A11" s="1"/>
      <c r="B11" s="117" t="s">
        <v>65</v>
      </c>
      <c r="C11" s="118"/>
      <c r="D11" s="118"/>
      <c r="E11" s="118"/>
      <c r="F11" s="119"/>
      <c r="G11" s="9">
        <v>0</v>
      </c>
      <c r="H11" s="14" t="s">
        <v>3</v>
      </c>
      <c r="I11" s="1"/>
    </row>
    <row r="12" spans="1:9" x14ac:dyDescent="0.25">
      <c r="A12" s="1"/>
      <c r="B12" s="114" t="s">
        <v>66</v>
      </c>
      <c r="C12" s="115"/>
      <c r="D12" s="115"/>
      <c r="E12" s="115"/>
      <c r="F12" s="116"/>
      <c r="G12" s="24">
        <f>G10*'Fane 12. Nøgletal'!C19+G11*'Fane 12. Nøgletal'!C20</f>
        <v>157622.71853706733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1" t="s">
        <v>67</v>
      </c>
      <c r="C15" s="112"/>
      <c r="D15" s="112"/>
      <c r="E15" s="112"/>
      <c r="F15" s="112"/>
      <c r="G15" s="112"/>
      <c r="H15" s="113"/>
      <c r="I15" s="1"/>
    </row>
    <row r="16" spans="1:9" x14ac:dyDescent="0.25">
      <c r="A16" s="1"/>
      <c r="B16" s="114" t="s">
        <v>68</v>
      </c>
      <c r="C16" s="115"/>
      <c r="D16" s="115"/>
      <c r="E16" s="115"/>
      <c r="F16" s="116"/>
      <c r="G16" s="24">
        <f>(G10+G11-G12)*(1+'Fane 12. Nøgletal'!C11)</f>
        <v>17453619.224590398</v>
      </c>
      <c r="H16" s="14" t="s">
        <v>3</v>
      </c>
      <c r="I16" s="1"/>
    </row>
    <row r="17" spans="1:9" x14ac:dyDescent="0.25">
      <c r="A17" s="1"/>
      <c r="B17" s="114" t="s">
        <v>126</v>
      </c>
      <c r="C17" s="115"/>
      <c r="D17" s="115"/>
      <c r="E17" s="115"/>
      <c r="F17" s="116"/>
      <c r="G17" s="24">
        <v>128347.32633447282</v>
      </c>
      <c r="H17" s="14" t="s">
        <v>3</v>
      </c>
      <c r="I17" s="1"/>
    </row>
    <row r="18" spans="1:9" x14ac:dyDescent="0.25">
      <c r="A18" s="1"/>
      <c r="B18" s="117" t="s">
        <v>69</v>
      </c>
      <c r="C18" s="118"/>
      <c r="D18" s="118"/>
      <c r="E18" s="118"/>
      <c r="F18" s="119"/>
      <c r="G18" s="24">
        <v>3527698.2634949791</v>
      </c>
      <c r="H18" s="14" t="s">
        <v>3</v>
      </c>
      <c r="I18" s="1"/>
    </row>
    <row r="19" spans="1:9" x14ac:dyDescent="0.25">
      <c r="A19" s="1"/>
      <c r="B19" s="114" t="s">
        <v>70</v>
      </c>
      <c r="C19" s="115"/>
      <c r="D19" s="115"/>
      <c r="E19" s="115"/>
      <c r="F19" s="116"/>
      <c r="G19" s="24">
        <f>(G16+G17+G18)*'Fane 12. Nøgletal'!C21</f>
        <v>183654.08388545268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1" t="s">
        <v>71</v>
      </c>
      <c r="C22" s="112"/>
      <c r="D22" s="112"/>
      <c r="E22" s="112"/>
      <c r="F22" s="112"/>
      <c r="G22" s="112"/>
      <c r="H22" s="113"/>
      <c r="I22" s="1"/>
    </row>
    <row r="23" spans="1:9" x14ac:dyDescent="0.25">
      <c r="A23" s="1"/>
      <c r="B23" s="114" t="s">
        <v>72</v>
      </c>
      <c r="C23" s="115"/>
      <c r="D23" s="115"/>
      <c r="E23" s="115"/>
      <c r="F23" s="116"/>
      <c r="G23" s="24">
        <f>(SUM(G16:G18)-G19)*(1+'Fane 12. Nøgletal'!C11)</f>
        <v>21279660.311880428</v>
      </c>
      <c r="H23" s="14" t="s">
        <v>3</v>
      </c>
      <c r="I23" s="1"/>
    </row>
    <row r="24" spans="1:9" x14ac:dyDescent="0.25">
      <c r="A24" s="1"/>
      <c r="B24" s="117" t="s">
        <v>73</v>
      </c>
      <c r="C24" s="118"/>
      <c r="D24" s="118"/>
      <c r="E24" s="118"/>
      <c r="F24" s="119"/>
      <c r="G24" s="24">
        <v>19142.916731712186</v>
      </c>
      <c r="H24" s="14" t="s">
        <v>3</v>
      </c>
      <c r="I24" s="1"/>
    </row>
    <row r="25" spans="1:9" x14ac:dyDescent="0.25">
      <c r="A25" s="1"/>
      <c r="B25" s="114" t="s">
        <v>74</v>
      </c>
      <c r="C25" s="115"/>
      <c r="D25" s="115"/>
      <c r="E25" s="115"/>
      <c r="F25" s="116"/>
      <c r="G25" s="24">
        <f>G23*'Fane 12. Nøgletal'!C21+G24*'Fane 12. Nøgletal'!C22</f>
        <v>185676.70354854033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1" t="s">
        <v>173</v>
      </c>
      <c r="C28" s="112"/>
      <c r="D28" s="112"/>
      <c r="E28" s="112"/>
      <c r="F28" s="112"/>
      <c r="G28" s="112"/>
      <c r="H28" s="113"/>
      <c r="I28" s="1"/>
    </row>
    <row r="29" spans="1:9" x14ac:dyDescent="0.25">
      <c r="A29" s="1"/>
      <c r="B29" s="114" t="s">
        <v>75</v>
      </c>
      <c r="C29" s="115"/>
      <c r="D29" s="115"/>
      <c r="E29" s="115"/>
      <c r="F29" s="116"/>
      <c r="G29" s="24">
        <f>(G23+G24-G25)*(1+'Fane 12. Nøgletal'!C13)</f>
        <v>21370706.668669377</v>
      </c>
      <c r="H29" s="14" t="s">
        <v>3</v>
      </c>
      <c r="I29" s="1"/>
    </row>
    <row r="30" spans="1:9" x14ac:dyDescent="0.25">
      <c r="A30" s="1"/>
      <c r="B30" s="114" t="s">
        <v>152</v>
      </c>
      <c r="C30" s="115"/>
      <c r="D30" s="115"/>
      <c r="E30" s="115"/>
      <c r="F30" s="116"/>
      <c r="G30" s="24">
        <v>128929.22602559999</v>
      </c>
      <c r="H30" s="14" t="s">
        <v>3</v>
      </c>
      <c r="I30" s="1"/>
    </row>
    <row r="31" spans="1:9" x14ac:dyDescent="0.25">
      <c r="A31" s="1"/>
      <c r="B31" s="114" t="s">
        <v>174</v>
      </c>
      <c r="C31" s="115"/>
      <c r="D31" s="115"/>
      <c r="E31" s="115"/>
      <c r="F31" s="116"/>
      <c r="G31" s="24">
        <f>(G29+G30)*'Fane 12. Nøgletal'!C23</f>
        <v>591239.98710411182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1" t="s">
        <v>178</v>
      </c>
      <c r="C34" s="112"/>
      <c r="D34" s="112"/>
      <c r="E34" s="112"/>
      <c r="F34" s="112"/>
      <c r="G34" s="112"/>
      <c r="H34" s="113"/>
      <c r="I34" s="1"/>
    </row>
    <row r="35" spans="1:9" x14ac:dyDescent="0.25">
      <c r="A35" s="1"/>
      <c r="B35" s="114" t="s">
        <v>78</v>
      </c>
      <c r="C35" s="115"/>
      <c r="D35" s="115"/>
      <c r="E35" s="115"/>
      <c r="F35" s="116"/>
      <c r="G35" s="24">
        <f>(G29+G30-G31)*(1+'Fane 12. Nøgletal'!C13)</f>
        <v>21163478.337663475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124324.30903539606</v>
      </c>
      <c r="H36" s="14" t="s">
        <v>3</v>
      </c>
      <c r="I36" s="38"/>
    </row>
    <row r="37" spans="1:9" x14ac:dyDescent="0.25">
      <c r="A37" s="1"/>
      <c r="B37" s="114" t="s">
        <v>193</v>
      </c>
      <c r="C37" s="115"/>
      <c r="D37" s="115"/>
      <c r="E37" s="115"/>
      <c r="F37" s="116"/>
      <c r="G37" s="24">
        <f>SUM('Fane 2.1. Økonomisk ramme 2022'!C13,'Fane 2.1. Økonomisk ramme 2022'!C15,'Fane 2.1. Økonomisk ramme 2022'!C17)*(1+'Fane 12. Nøgletal'!C14)</f>
        <v>10627.381710785468</v>
      </c>
      <c r="H37" s="14" t="s">
        <v>3</v>
      </c>
      <c r="I37" s="1"/>
    </row>
    <row r="38" spans="1:9" x14ac:dyDescent="0.25">
      <c r="A38" s="1"/>
      <c r="B38" s="114" t="s">
        <v>179</v>
      </c>
      <c r="C38" s="115"/>
      <c r="D38" s="115"/>
      <c r="E38" s="115"/>
      <c r="F38" s="116"/>
      <c r="G38" s="24">
        <f>G35*'Fane 12. Nøgletal'!C23+G37*'Fane 12. Nøgletal'!C24</f>
        <v>582152.9395350652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1" t="s">
        <v>82</v>
      </c>
      <c r="C41" s="112"/>
      <c r="D41" s="112"/>
      <c r="E41" s="112"/>
      <c r="F41" s="112"/>
      <c r="G41" s="112"/>
      <c r="H41" s="113"/>
      <c r="I41" s="1"/>
    </row>
    <row r="42" spans="1:9" x14ac:dyDescent="0.25">
      <c r="A42" s="1"/>
      <c r="B42" s="114" t="s">
        <v>77</v>
      </c>
      <c r="C42" s="115"/>
      <c r="D42" s="115"/>
      <c r="E42" s="115"/>
      <c r="F42" s="116"/>
      <c r="G42" s="24">
        <f>(G35+G37-G38)*(1+'Fane 12. Nøgletal'!C14)</f>
        <v>20659906.224012665</v>
      </c>
      <c r="H42" s="14" t="s">
        <v>3</v>
      </c>
      <c r="I42" s="1"/>
    </row>
    <row r="43" spans="1:9" x14ac:dyDescent="0.25">
      <c r="A43" s="1"/>
      <c r="B43" s="114" t="s">
        <v>96</v>
      </c>
      <c r="C43" s="115"/>
      <c r="D43" s="115"/>
      <c r="E43" s="115"/>
      <c r="F43" s="116"/>
      <c r="G43" s="9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4" t="s">
        <v>76</v>
      </c>
      <c r="C44" s="115"/>
      <c r="D44" s="115"/>
      <c r="E44" s="115"/>
      <c r="F44" s="116"/>
      <c r="G44" s="24">
        <f>(G42+G43)*'Fane 12. Nøgletal'!C24</f>
        <v>305766.61211538746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1" t="s">
        <v>153</v>
      </c>
      <c r="C47" s="112"/>
      <c r="D47" s="112"/>
      <c r="E47" s="112"/>
      <c r="F47" s="112"/>
      <c r="G47" s="112"/>
      <c r="H47" s="113"/>
      <c r="I47" s="1"/>
    </row>
    <row r="48" spans="1:9" x14ac:dyDescent="0.25">
      <c r="A48" s="1"/>
      <c r="B48" s="114" t="s">
        <v>154</v>
      </c>
      <c r="C48" s="115"/>
      <c r="D48" s="115"/>
      <c r="E48" s="115"/>
      <c r="F48" s="116"/>
      <c r="G48" s="24">
        <f>(G42+G43-G44)*(1+'Fane 12. Nøgletal'!C14)</f>
        <v>20421308.272616543</v>
      </c>
      <c r="H48" s="14" t="s">
        <v>3</v>
      </c>
      <c r="I48" s="1"/>
    </row>
    <row r="49" spans="1:9" x14ac:dyDescent="0.25">
      <c r="A49" s="1"/>
      <c r="B49" s="114" t="s">
        <v>155</v>
      </c>
      <c r="C49" s="115"/>
      <c r="D49" s="115"/>
      <c r="E49" s="115"/>
      <c r="F49" s="116"/>
      <c r="G49" s="9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4" t="s">
        <v>156</v>
      </c>
      <c r="C50" s="115"/>
      <c r="D50" s="115"/>
      <c r="E50" s="115"/>
      <c r="F50" s="116"/>
      <c r="G50" s="24">
        <f>(G48+G49)*'Fane 12. Nøgletal'!C24</f>
        <v>302235.36243472487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1" t="s">
        <v>194</v>
      </c>
      <c r="C53" s="112"/>
      <c r="D53" s="112"/>
      <c r="E53" s="112"/>
      <c r="F53" s="112"/>
      <c r="G53" s="112"/>
      <c r="H53" s="113"/>
      <c r="I53" s="1"/>
    </row>
    <row r="54" spans="1:9" x14ac:dyDescent="0.25">
      <c r="A54" s="1"/>
      <c r="B54" s="114" t="s">
        <v>195</v>
      </c>
      <c r="C54" s="115"/>
      <c r="D54" s="115"/>
      <c r="E54" s="115"/>
      <c r="F54" s="116"/>
      <c r="G54" s="24">
        <f>(G48+G49-G50)*(1+'Fane 12. Nøgletal'!C14)</f>
        <v>20185465.850785419</v>
      </c>
      <c r="H54" s="14" t="s">
        <v>3</v>
      </c>
      <c r="I54" s="1"/>
    </row>
    <row r="55" spans="1:9" x14ac:dyDescent="0.25">
      <c r="A55" s="1"/>
      <c r="B55" s="114" t="s">
        <v>196</v>
      </c>
      <c r="C55" s="115"/>
      <c r="D55" s="115"/>
      <c r="E55" s="115"/>
      <c r="F55" s="116"/>
      <c r="G55" s="9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4" t="s">
        <v>197</v>
      </c>
      <c r="C56" s="115"/>
      <c r="D56" s="115"/>
      <c r="E56" s="115"/>
      <c r="F56" s="116"/>
      <c r="G56" s="24">
        <f>(G54+G55)*'Fane 12. Nøgletal'!C24</f>
        <v>298744.89459162421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Y4ncxArgvkLl+FcSxdjMxWSqqnPqQWHxd+nPxDVJX+xHM0aBftvIKkRoljoju1YrPZH3ehCa+tT+N2RGVEQwLA==" saltValue="Oa2jtCyeAZl9+r3JjApUmw==" spinCount="100000" sheet="1" objects="1" scenarios="1"/>
  <mergeCells count="37"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1" t="s">
        <v>9</v>
      </c>
      <c r="C8" s="112"/>
      <c r="D8" s="112"/>
      <c r="E8" s="112"/>
      <c r="F8" s="112"/>
      <c r="G8" s="112"/>
      <c r="H8" s="113"/>
      <c r="I8" s="1"/>
    </row>
    <row r="9" spans="1:9" x14ac:dyDescent="0.25">
      <c r="A9" s="1"/>
      <c r="B9" s="114" t="s">
        <v>105</v>
      </c>
      <c r="C9" s="115"/>
      <c r="D9" s="115"/>
      <c r="E9" s="115"/>
      <c r="F9" s="116"/>
      <c r="G9" s="44">
        <v>5.1208017350958882E-3</v>
      </c>
      <c r="H9" s="14"/>
      <c r="I9" s="1"/>
    </row>
    <row r="10" spans="1:9" x14ac:dyDescent="0.25">
      <c r="A10" s="1"/>
      <c r="B10" s="114" t="s">
        <v>141</v>
      </c>
      <c r="C10" s="115"/>
      <c r="D10" s="115"/>
      <c r="E10" s="115"/>
      <c r="F10" s="116"/>
      <c r="G10" s="44">
        <v>1.1388294966163202E-2</v>
      </c>
      <c r="H10" s="14"/>
      <c r="I10" s="1"/>
    </row>
    <row r="11" spans="1:9" x14ac:dyDescent="0.25">
      <c r="A11" s="1"/>
      <c r="B11" s="54"/>
      <c r="C11" s="55"/>
      <c r="D11" s="55"/>
      <c r="E11" s="55"/>
      <c r="F11" s="55"/>
      <c r="G11" s="55"/>
      <c r="H11" s="20"/>
      <c r="I11" s="1"/>
    </row>
    <row r="12" spans="1:9" ht="14.25" customHeight="1" x14ac:dyDescent="0.25">
      <c r="A12" s="1"/>
      <c r="B12" s="123" t="s">
        <v>191</v>
      </c>
      <c r="C12" s="124"/>
      <c r="D12" s="124"/>
      <c r="E12" s="124"/>
      <c r="F12" s="124"/>
      <c r="G12" s="124"/>
      <c r="H12" s="125"/>
      <c r="I12" s="1"/>
    </row>
    <row r="13" spans="1:9" ht="12.75" customHeight="1" x14ac:dyDescent="0.25">
      <c r="A13" s="18"/>
      <c r="B13" s="126"/>
      <c r="C13" s="127"/>
      <c r="D13" s="127"/>
      <c r="E13" s="127"/>
      <c r="F13" s="127"/>
      <c r="G13" s="127"/>
      <c r="H13" s="128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Stvlacx9nL7RFx89f+oqNPMdmF3WgOUlopguu3Kp14taotF1pZKc2ZZeyY5hTiJPhGcUIa+h/9KvK1ph0Fcwyw==" saltValue="pgXKUBatwdoG57pKwLjBDg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2021-09-06T09:54:21Z</dcterms:modified>
</cp:coreProperties>
</file>