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rsens Vand AS (V09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6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9" i="2"/>
  <c r="F11" i="11"/>
  <c r="C10" i="37" s="1"/>
  <c r="C12" i="37" s="1"/>
  <c r="G11" i="11"/>
  <c r="C13" i="37" l="1"/>
  <c r="C11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1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<sst xmlns="http://schemas.openxmlformats.org/spreadsheetml/2006/main" count="598" uniqueCount="251">
  <si>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</si>
  <si>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</si>
  <si>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</si>
  <si>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</si>
  <si>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</si>
  <si>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</si>
  <si>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</si>
  <si>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</si>
  <si>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</si>
  <si>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</si>
  <si>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</si>
  <si>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</si>
  <si>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</si>
  <si>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</si>
  <si>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</si>
  <si>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</si>
  <si>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</si>
  <si>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</si>
  <si>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</si>
  <si>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</si>
  <si>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</si>
  <si>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</si>
  <si>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</si>
  <si>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</si>
  <si>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</si>
  <si>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</si>
  <si>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</si>
  <si>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</si>
  <si>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</si>
  <si>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</si>
  <si>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</si>
  <si>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</si>
  <si>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</si>
  <si>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</si>
  <si>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</si>
  <si>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</si>
  <si>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</si>
  <si>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</si>
  <si>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</si>
  <si>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</si>
  <si>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</si>
  <si>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</si>
  <si>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</si>
  <si>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</si>
  <si>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</si>
  <si>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</si>
  <si>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</si>
  <si>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</si>
  <si>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</si>
  <si>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</si>
  <si>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</si>
  <si>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</si>
  <si>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</si>
  <si>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</si>
  <si>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</si>
  <si>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</si>
  <si>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</si>
  <si>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</si>
  <si>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</si>
  <si>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</si>
  <si>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</si>
  <si>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</si>
  <si>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</si>
  <si>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</si>
  <si>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</si>
  <si>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</si>
  <si>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</si>
  <si>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</si>
  <si>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</si>
  <si>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</si>
  <si>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</si>
  <si>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</si>
  <si>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</si>
  <si>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</si>
  <si>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</si>
  <si>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</si>
  <si>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</si>
  <si>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</si>
  <si>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</si>
  <si>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</si>
  <si>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</si>
  <si>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</si>
  <si>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</si>
  <si>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</si>
  <si>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</si>
  <si>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</si>
  <si>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</si>
  <si>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</si>
  <si>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</si>
  <si>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</si>
  <si>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</si>
  <si>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</si>
  <si>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</si>
  <si>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</si>
  <si>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</si>
  <si>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</si>
  <si>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</si>
  <si>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</si>
  <si>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</si>
  <si>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</si>
  <si>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</si>
  <si>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</si>
  <si>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</si>
  <si>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</si>
  <si>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</si>
  <si>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</si>
  <si>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</si>
  <si>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</si>
  <si>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</si>
  <si>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</si>
  <si>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</si>
  <si>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</si>
  <si>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</si>
  <si>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</si>
  <si>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</si>
  <si>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</si>
  <si>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</si>
  <si>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</si>
  <si>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</si>
  <si>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</si>
  <si>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</si>
  <si>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</si>
  <si>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</si>
  <si>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</si>
  <si>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</si>
  <si>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</si>
  <si>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</si>
  <si>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</si>
  <si>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</si>
  <si>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</si>
  <si>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</si>
  <si>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</si>
  <si>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</si>
  <si>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</si>
  <si>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</si>
  <si>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</si>
  <si>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</si>
  <si>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</si>
  <si>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</si>
  <si>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</si>
  <si>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</si>
  <si>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</si>
  <si>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</si>
  <si>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</si>
  <si>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</si>
  <si>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</si>
  <si>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</si>
  <si>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</si>
  <si>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</si>
  <si>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</si>
  <si>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</si>
  <si>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</si>
  <si>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</si>
  <si>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</si>
  <si>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</si>
  <si>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</si>
  <si>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</si>
  <si>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</si>
  <si>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</si>
  <si>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</si>
  <si>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</si>
  <si>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</si>
  <si>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</si>
  <si>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</si>
  <si>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</si>
  <si>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</si>
  <si>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</si>
  <si>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</si>
  <si>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</si>
  <si>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</si>
  <si>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</si>
  <si>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</si>
  <si>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</si>
  <si>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</si>
  <si>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</si>
  <si>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</si>
  <si>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</si>
  <si>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</si>
  <si>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</si>
  <si>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</si>
  <si>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</si>
  <si>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</si>
  <si>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</si>
  <si>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</si>
  <si>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</si>
  <si>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</si>
  <si>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</si>
  <si>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</si>
  <si>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</si>
  <si>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</si>
  <si>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</si>
  <si>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</si>
  <si>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</si>
  <si>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</si>
  <si>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</si>
  <si>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</si>
  <si>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</si>
  <si>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</si>
  <si>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</si>
  <si>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</si>
  <si>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</si>
  <si>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</si>
  <si>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</si>
  <si>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</si>
  <si>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</si>
  <si>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</si>
  <si>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</si>
  <si>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</si>
  <si>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</si>
  <si>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</si>
  <si>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</si>
  <si>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</si>
  <si>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</si>
  <si>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</si>
  <si>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</si>
  <si>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</si>
  <si>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</si>
  <si>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</si>
  <si>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</si>
  <si>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</si>
  <si>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</si>
  <si>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</si>
  <si>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</si>
  <si>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</si>
  <si>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</si>
  <si>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</si>
  <si>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</si>
  <si>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</si>
  <si>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</si>
  <si>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</si>
  <si>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</si>
  <si>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</si>
  <si>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</si>
  <si>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</si>
  <si>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</si>
  <si>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</si>
  <si>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</si>
  <si>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</si>
  <si>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Frivillige aftaler om dyrkningspraksis eller andre restriktioner i arealanvendelse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</si>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</sst>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5JOK1qjE6S4PUIGkKmC/bHC3kzjy/iz5uUlTN7+9U6VfeW3ukH89CT9i5WCyk+olGdB42nelDMSaXRw87m+KA==" saltValue="ZbydcTOvnvpk8jrFyC6sy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4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2" t="s">
        <v>234</v>
      </c>
      <c r="C10" s="9">
        <v>25897847</v>
      </c>
      <c r="D10" s="14" t="s">
        <v>3</v>
      </c>
      <c r="E10" s="1"/>
      <c r="F10" s="1"/>
    </row>
    <row r="11" spans="1:6" ht="15" customHeight="1" x14ac:dyDescent="0.45">
      <c r="A11" s="1"/>
      <c r="B11" s="52" t="s">
        <v>235</v>
      </c>
      <c r="C11" s="9">
        <v>100588</v>
      </c>
      <c r="D11" s="14" t="s">
        <v>3</v>
      </c>
      <c r="E11" s="1"/>
      <c r="F11" s="1"/>
    </row>
    <row r="12" spans="1:6" x14ac:dyDescent="0.45">
      <c r="A12" s="1"/>
      <c r="B12" s="52" t="s">
        <v>236</v>
      </c>
      <c r="C12" s="9">
        <v>173412.47</v>
      </c>
      <c r="D12" s="14" t="s">
        <v>3</v>
      </c>
      <c r="E12" s="1"/>
      <c r="F12" s="1"/>
    </row>
    <row r="13" spans="1:6" x14ac:dyDescent="0.45">
      <c r="A13" s="1"/>
      <c r="B13" s="52" t="s">
        <v>237</v>
      </c>
      <c r="C13" s="9">
        <v>690196.94</v>
      </c>
      <c r="D13" s="14" t="s">
        <v>3</v>
      </c>
      <c r="E13" s="1"/>
      <c r="F13" s="1"/>
    </row>
    <row r="14" spans="1:6" x14ac:dyDescent="0.45">
      <c r="A14" s="1"/>
      <c r="B14" s="52" t="s">
        <v>238</v>
      </c>
      <c r="C14" s="9">
        <v>1366447</v>
      </c>
      <c r="D14" s="14" t="s">
        <v>3</v>
      </c>
      <c r="E14" s="1"/>
      <c r="F14" s="1"/>
    </row>
    <row r="15" spans="1:6" x14ac:dyDescent="0.45">
      <c r="A15" s="1"/>
      <c r="B15" s="51" t="s">
        <v>247</v>
      </c>
      <c r="C15" s="9">
        <v>24987.084143609824</v>
      </c>
      <c r="D15" s="14" t="s">
        <v>3</v>
      </c>
      <c r="E15" s="1"/>
      <c r="F15" s="1"/>
    </row>
    <row r="16" spans="1:6" x14ac:dyDescent="0.45">
      <c r="A16" s="1"/>
      <c r="B16" s="49" t="s">
        <v>169</v>
      </c>
      <c r="C16" s="12">
        <f>SUM(C10:C15)</f>
        <v>28253478.494143609</v>
      </c>
      <c r="D16" s="13" t="s">
        <v>3</v>
      </c>
      <c r="E16" s="1"/>
      <c r="F16" s="1"/>
    </row>
    <row r="17" spans="1:6" x14ac:dyDescent="0.45">
      <c r="A17" s="1"/>
      <c r="B17" s="49" t="s">
        <v>170</v>
      </c>
      <c r="C17" s="12">
        <f>C16*(1+'Fane 12. Nøgletal'!C13)^2</f>
        <v>28947068.617139783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AbGK4hqiIB69zaCSGEBlkPik7NPE6MWBzEvoxOFZVfwCJTaNpPMA8UeofCZrpCjdNJmZ6kxzk6DWiAAD3Cco7Q==" saltValue="BsHyqp5suOgPX9qoaWdp2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3" t="s">
        <v>172</v>
      </c>
      <c r="C2" s="83"/>
      <c r="D2" s="83"/>
      <c r="E2" s="83"/>
      <c r="F2" s="83"/>
      <c r="G2" s="1"/>
    </row>
    <row r="3" spans="1:7" ht="15" customHeight="1" x14ac:dyDescent="0.45">
      <c r="A3" s="1"/>
      <c r="B3" s="83"/>
      <c r="C3" s="83"/>
      <c r="D3" s="83"/>
      <c r="E3" s="83"/>
      <c r="F3" s="83"/>
      <c r="G3" s="1"/>
    </row>
    <row r="4" spans="1:7" ht="15" customHeight="1" x14ac:dyDescent="0.45">
      <c r="A4" s="1"/>
      <c r="B4" s="96" t="s">
        <v>39</v>
      </c>
      <c r="C4" s="97"/>
      <c r="D4" s="97"/>
      <c r="E4" s="97"/>
      <c r="F4" s="98"/>
      <c r="G4" s="1"/>
    </row>
    <row r="5" spans="1:7" ht="15" customHeight="1" x14ac:dyDescent="0.45">
      <c r="A5" s="1"/>
      <c r="B5" s="99" t="s">
        <v>37</v>
      </c>
      <c r="C5" s="100"/>
      <c r="D5" s="101"/>
      <c r="E5" s="9">
        <v>-1810306.9057333334</v>
      </c>
      <c r="F5" s="14" t="s">
        <v>3</v>
      </c>
      <c r="G5" s="1"/>
    </row>
    <row r="6" spans="1:7" ht="15" customHeight="1" x14ac:dyDescent="0.45">
      <c r="A6" s="1"/>
      <c r="B6" s="99" t="s">
        <v>38</v>
      </c>
      <c r="C6" s="100"/>
      <c r="D6" s="101"/>
      <c r="E6" s="9">
        <v>2341553.6431248337</v>
      </c>
      <c r="F6" s="14" t="s">
        <v>3</v>
      </c>
      <c r="G6" s="1"/>
    </row>
    <row r="7" spans="1:7" ht="15" customHeight="1" x14ac:dyDescent="0.45">
      <c r="A7" s="1"/>
      <c r="B7" s="107" t="s">
        <v>131</v>
      </c>
      <c r="C7" s="108"/>
      <c r="D7" s="109"/>
      <c r="E7" s="10">
        <f>SUM(E5:E6)</f>
        <v>531246.73739150027</v>
      </c>
      <c r="F7" s="17" t="s">
        <v>3</v>
      </c>
      <c r="G7" s="1"/>
    </row>
    <row r="8" spans="1:7" ht="15" customHeight="1" x14ac:dyDescent="0.45">
      <c r="A8" s="1"/>
      <c r="B8" s="49"/>
      <c r="C8" s="50"/>
      <c r="D8" s="50"/>
      <c r="E8" s="50"/>
      <c r="F8" s="20"/>
      <c r="G8" s="1"/>
    </row>
    <row r="9" spans="1:7" ht="28.5" customHeight="1" x14ac:dyDescent="0.45">
      <c r="A9" s="1"/>
      <c r="B9" s="87" t="s">
        <v>132</v>
      </c>
      <c r="C9" s="88"/>
      <c r="D9" s="88"/>
      <c r="E9" s="88"/>
      <c r="F9" s="89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6" t="s">
        <v>116</v>
      </c>
      <c r="C11" s="97"/>
      <c r="D11" s="97"/>
      <c r="E11" s="97"/>
      <c r="F11" s="98"/>
      <c r="G11" s="1"/>
    </row>
    <row r="12" spans="1:7" x14ac:dyDescent="0.45">
      <c r="A12" s="1"/>
      <c r="B12" s="99" t="s">
        <v>117</v>
      </c>
      <c r="C12" s="100"/>
      <c r="D12" s="101"/>
      <c r="E12" s="9">
        <v>66871555.402742624</v>
      </c>
      <c r="F12" s="14" t="s">
        <v>3</v>
      </c>
      <c r="G12" s="1"/>
    </row>
    <row r="13" spans="1:7" x14ac:dyDescent="0.45">
      <c r="A13" s="1"/>
      <c r="B13" s="99" t="s">
        <v>118</v>
      </c>
      <c r="C13" s="100"/>
      <c r="D13" s="101"/>
      <c r="E13" s="9">
        <v>61604059</v>
      </c>
      <c r="F13" s="14" t="s">
        <v>3</v>
      </c>
      <c r="G13" s="1"/>
    </row>
    <row r="14" spans="1:7" x14ac:dyDescent="0.45">
      <c r="A14" s="1"/>
      <c r="B14" s="99" t="s">
        <v>36</v>
      </c>
      <c r="C14" s="100"/>
      <c r="D14" s="101"/>
      <c r="E14" s="9">
        <v>0</v>
      </c>
      <c r="F14" s="14" t="s">
        <v>3</v>
      </c>
      <c r="G14" s="1"/>
    </row>
    <row r="15" spans="1:7" x14ac:dyDescent="0.45">
      <c r="A15" s="1"/>
      <c r="B15" s="107" t="s">
        <v>208</v>
      </c>
      <c r="C15" s="108"/>
      <c r="D15" s="109"/>
      <c r="E15" s="10">
        <f>E12-(E13-E14)</f>
        <v>5267496.4027426243</v>
      </c>
      <c r="F15" s="17" t="s">
        <v>3</v>
      </c>
      <c r="G15" s="1"/>
    </row>
    <row r="16" spans="1:7" x14ac:dyDescent="0.45">
      <c r="A16" s="1"/>
      <c r="B16" s="49"/>
      <c r="C16" s="50"/>
      <c r="D16" s="50"/>
      <c r="E16" s="50"/>
      <c r="F16" s="20"/>
      <c r="G16" s="1"/>
    </row>
    <row r="17" spans="1:7" ht="30" customHeight="1" x14ac:dyDescent="0.45">
      <c r="A17" s="1"/>
      <c r="B17" s="87" t="s">
        <v>133</v>
      </c>
      <c r="C17" s="88"/>
      <c r="D17" s="88"/>
      <c r="E17" s="88"/>
      <c r="F17" s="89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6" t="s">
        <v>50</v>
      </c>
      <c r="C19" s="97"/>
      <c r="D19" s="97"/>
      <c r="E19" s="97"/>
      <c r="F19" s="98"/>
      <c r="G19" s="1"/>
    </row>
    <row r="20" spans="1:7" x14ac:dyDescent="0.45">
      <c r="A20" s="1"/>
      <c r="B20" s="99" t="s">
        <v>51</v>
      </c>
      <c r="C20" s="100"/>
      <c r="D20" s="101"/>
      <c r="E20" s="9">
        <v>59034703.233416006</v>
      </c>
      <c r="F20" s="14" t="s">
        <v>3</v>
      </c>
      <c r="G20" s="1"/>
    </row>
    <row r="21" spans="1:7" x14ac:dyDescent="0.45">
      <c r="A21" s="1"/>
      <c r="B21" s="99" t="s">
        <v>52</v>
      </c>
      <c r="C21" s="100"/>
      <c r="D21" s="101"/>
      <c r="E21" s="9">
        <v>60790564</v>
      </c>
      <c r="F21" s="14" t="s">
        <v>3</v>
      </c>
      <c r="G21" s="1"/>
    </row>
    <row r="22" spans="1:7" x14ac:dyDescent="0.45">
      <c r="A22" s="1"/>
      <c r="B22" s="99" t="s">
        <v>36</v>
      </c>
      <c r="C22" s="100"/>
      <c r="D22" s="101"/>
      <c r="E22" s="9">
        <v>0</v>
      </c>
      <c r="F22" s="14" t="s">
        <v>3</v>
      </c>
      <c r="G22" s="1"/>
    </row>
    <row r="23" spans="1:7" x14ac:dyDescent="0.45">
      <c r="A23" s="1"/>
      <c r="B23" s="107" t="s">
        <v>209</v>
      </c>
      <c r="C23" s="108"/>
      <c r="D23" s="109"/>
      <c r="E23" s="10">
        <f>E20-(E21-E22)</f>
        <v>-1755860.766583994</v>
      </c>
      <c r="F23" s="17" t="s">
        <v>3</v>
      </c>
      <c r="G23" s="1"/>
    </row>
    <row r="24" spans="1:7" x14ac:dyDescent="0.45">
      <c r="A24" s="1"/>
      <c r="B24" s="49"/>
      <c r="C24" s="50"/>
      <c r="D24" s="50"/>
      <c r="E24" s="50"/>
      <c r="F24" s="20"/>
      <c r="G24" s="1"/>
    </row>
    <row r="25" spans="1:7" ht="28.5" customHeight="1" x14ac:dyDescent="0.45">
      <c r="A25" s="1"/>
      <c r="B25" s="87" t="s">
        <v>179</v>
      </c>
      <c r="C25" s="88"/>
      <c r="D25" s="88"/>
      <c r="E25" s="88"/>
      <c r="F25" s="89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6" t="s">
        <v>200</v>
      </c>
      <c r="C27" s="97"/>
      <c r="D27" s="97"/>
      <c r="E27" s="97"/>
      <c r="F27" s="98"/>
      <c r="G27" s="1"/>
    </row>
    <row r="28" spans="1:7" x14ac:dyDescent="0.45">
      <c r="A28" s="1"/>
      <c r="B28" s="99" t="s">
        <v>201</v>
      </c>
      <c r="C28" s="100"/>
      <c r="D28" s="101"/>
      <c r="E28" s="9">
        <v>59088111.154704988</v>
      </c>
      <c r="F28" s="14" t="s">
        <v>3</v>
      </c>
      <c r="G28" s="1"/>
    </row>
    <row r="29" spans="1:7" x14ac:dyDescent="0.45">
      <c r="A29" s="1"/>
      <c r="B29" s="99" t="s">
        <v>202</v>
      </c>
      <c r="C29" s="100"/>
      <c r="D29" s="101"/>
      <c r="E29" s="9">
        <v>58908755</v>
      </c>
      <c r="F29" s="14" t="s">
        <v>3</v>
      </c>
      <c r="G29" s="1"/>
    </row>
    <row r="30" spans="1:7" x14ac:dyDescent="0.45">
      <c r="A30" s="1"/>
      <c r="B30" s="99" t="s">
        <v>36</v>
      </c>
      <c r="C30" s="100"/>
      <c r="D30" s="101"/>
      <c r="E30" s="9">
        <v>0</v>
      </c>
      <c r="F30" s="14" t="s">
        <v>3</v>
      </c>
      <c r="G30" s="1"/>
    </row>
    <row r="31" spans="1:7" x14ac:dyDescent="0.45">
      <c r="A31" s="1"/>
      <c r="B31" s="107" t="s">
        <v>210</v>
      </c>
      <c r="C31" s="108"/>
      <c r="D31" s="109"/>
      <c r="E31" s="10">
        <f>E28-(E29-E30)</f>
        <v>179356.154704988</v>
      </c>
      <c r="F31" s="17" t="s">
        <v>3</v>
      </c>
      <c r="G31" s="1"/>
    </row>
    <row r="32" spans="1:7" x14ac:dyDescent="0.45">
      <c r="A32" s="1"/>
      <c r="B32" s="49"/>
      <c r="C32" s="50"/>
      <c r="D32" s="50"/>
      <c r="E32" s="50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6" t="s">
        <v>125</v>
      </c>
      <c r="C34" s="97"/>
      <c r="D34" s="97"/>
      <c r="E34" s="97"/>
      <c r="F34" s="98"/>
      <c r="G34" s="1"/>
    </row>
    <row r="35" spans="1:7" x14ac:dyDescent="0.45">
      <c r="A35" s="1"/>
      <c r="B35" s="110" t="s">
        <v>249</v>
      </c>
      <c r="C35" s="111"/>
      <c r="D35" s="112"/>
      <c r="E35" s="9">
        <v>1</v>
      </c>
      <c r="F35" s="14"/>
      <c r="G35" s="1"/>
    </row>
    <row r="36" spans="1:7" x14ac:dyDescent="0.45">
      <c r="A36" s="1"/>
      <c r="B36" s="110" t="s">
        <v>250</v>
      </c>
      <c r="C36" s="111"/>
      <c r="D36" s="112"/>
      <c r="E36" s="9">
        <v>0</v>
      </c>
      <c r="F36" s="14"/>
      <c r="G36" s="1"/>
    </row>
    <row r="37" spans="1:7" x14ac:dyDescent="0.45">
      <c r="A37" s="1"/>
      <c r="B37" s="110" t="s">
        <v>113</v>
      </c>
      <c r="C37" s="111"/>
      <c r="D37" s="112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45">
      <c r="A38" s="1"/>
      <c r="B38" s="110" t="s">
        <v>130</v>
      </c>
      <c r="C38" s="111"/>
      <c r="D38" s="112"/>
      <c r="E38" s="9">
        <v>2</v>
      </c>
      <c r="F38" s="14" t="s">
        <v>19</v>
      </c>
      <c r="G38" s="1"/>
    </row>
    <row r="39" spans="1:7" ht="15" customHeight="1" x14ac:dyDescent="0.45">
      <c r="A39" s="1"/>
      <c r="B39" s="113" t="s">
        <v>203</v>
      </c>
      <c r="C39" s="113"/>
      <c r="D39" s="113"/>
      <c r="E39" s="10">
        <f>E37/E38</f>
        <v>0</v>
      </c>
      <c r="F39" s="17" t="s">
        <v>3</v>
      </c>
      <c r="G39" s="1"/>
    </row>
    <row r="40" spans="1:7" x14ac:dyDescent="0.45">
      <c r="A40" s="1"/>
      <c r="B40" s="96"/>
      <c r="C40" s="97"/>
      <c r="D40" s="97"/>
      <c r="E40" s="97"/>
      <c r="F40" s="98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ac3qj0NorzrGikN23T9dJzuE2nkON+7bkeRkU/8TafE2tBUZlL7jcP4evItJxn8wGFyzutGHuQ7GHfsnn/NZgA==" saltValue="x7M6BAuBR6kd3ZOGCjPHKg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6"/>
      <c r="I9" s="1"/>
    </row>
    <row r="10" spans="1:9" x14ac:dyDescent="0.45">
      <c r="A10" s="1"/>
      <c r="B10" s="40" t="s">
        <v>248</v>
      </c>
      <c r="C10" s="41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n5GdJYNk2vZDrN8cDz7+il7USODIshqXyv1el7W9D/bLh1tVMjJOaDA8pr0n2052gM10s0DdfMpSaQhsutdhg==" saltValue="yvHclkauaz09H3NjEr0F8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9" t="s">
        <v>94</v>
      </c>
      <c r="C8" s="50"/>
      <c r="D8" s="50"/>
      <c r="E8" s="50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6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2" t="s">
        <v>241</v>
      </c>
      <c r="C11" s="22">
        <v>716543</v>
      </c>
      <c r="D11" s="14" t="s">
        <v>3</v>
      </c>
      <c r="E11" s="9">
        <v>167411</v>
      </c>
      <c r="F11" s="14" t="s">
        <v>3</v>
      </c>
      <c r="G11" s="1"/>
    </row>
    <row r="12" spans="1:7" x14ac:dyDescent="0.45">
      <c r="A12" s="1"/>
      <c r="B12" s="49" t="s">
        <v>48</v>
      </c>
      <c r="C12" s="12">
        <f>SUM(C10:C11)</f>
        <v>716543</v>
      </c>
      <c r="D12" s="13" t="s">
        <v>3</v>
      </c>
      <c r="E12" s="12">
        <f>SUM(E10:E11)</f>
        <v>167411</v>
      </c>
      <c r="F12" s="13" t="s">
        <v>3</v>
      </c>
      <c r="G12" s="1"/>
    </row>
    <row r="13" spans="1:7" x14ac:dyDescent="0.45">
      <c r="A13" s="1"/>
      <c r="B13" s="49" t="s">
        <v>173</v>
      </c>
      <c r="C13" s="12">
        <f>C12*(1+'Fane 12. Nøgletal'!C13)</f>
        <v>725284.82459999993</v>
      </c>
      <c r="D13" s="13" t="s">
        <v>3</v>
      </c>
      <c r="E13" s="12">
        <f>E12*(1+'Fane 12. Nøgletal'!C13)</f>
        <v>169453.4142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g4IXokHfQR+oZBorXfRcPZj/wH/kIQ/2ZDlCWvwE161p6Tk/EdetozlOknoTCGhG5R8lPVUVPVUJ/+lJY/IFPQ==" saltValue="YVDCUN7ENtq8pEm3xppS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6"/>
      <c r="G9" s="1"/>
    </row>
    <row r="10" spans="1:7" x14ac:dyDescent="0.4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9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9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6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9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9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6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9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9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6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9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9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xdnV3BT58UzNgS2Yn6Gr0PJiLnq4VtjzWqe6oTiiHUyy9q84pTwXwdNVEJhQXZxtCaOAp3bkZXa015elnc7ig==" saltValue="5BfhZIG+TCW3ATVpxDU6p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5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NntRqCR4W4FgyGyRNKQztzD4oIqq0CJ5qplhrH9N3Cds53U1lO5alVcWNEeAaq4qUc9+iIyNCG5N0wPi8pgsNw==" saltValue="iYaYvh0OEcNwTx2Kga8D7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5" t="s">
        <v>17</v>
      </c>
      <c r="C9" s="45" t="s">
        <v>11</v>
      </c>
      <c r="D9" s="46"/>
      <c r="E9" s="45" t="s">
        <v>34</v>
      </c>
      <c r="F9" s="46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9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9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5" t="s">
        <v>17</v>
      </c>
      <c r="C16" s="45" t="s">
        <v>11</v>
      </c>
      <c r="D16" s="46"/>
      <c r="E16" s="45" t="s">
        <v>34</v>
      </c>
      <c r="F16" s="46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9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9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5" t="s">
        <v>17</v>
      </c>
      <c r="C23" s="45" t="s">
        <v>11</v>
      </c>
      <c r="D23" s="46"/>
      <c r="E23" s="45" t="s">
        <v>34</v>
      </c>
      <c r="F23" s="46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9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9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5" t="s">
        <v>17</v>
      </c>
      <c r="C30" s="45" t="s">
        <v>11</v>
      </c>
      <c r="D30" s="46"/>
      <c r="E30" s="45" t="s">
        <v>34</v>
      </c>
      <c r="F30" s="46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9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9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3bmTYr1M8pPMv6gCaABU5HKwDI+OKM6002eO0+C2VJWJhtXKHexFJoZDGXy+H4FksEMs/CTZf0XVgZGm7WWiAQ==" saltValue="JhXkK89jIOksSt/AsB1pe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9" t="s">
        <v>14</v>
      </c>
      <c r="C8" s="20"/>
      <c r="D8" s="1"/>
    </row>
    <row r="9" spans="1:4" x14ac:dyDescent="0.45">
      <c r="A9" s="1"/>
      <c r="B9" s="52" t="s">
        <v>141</v>
      </c>
      <c r="C9" s="26">
        <v>1.2699999999999999E-2</v>
      </c>
      <c r="D9" s="1"/>
    </row>
    <row r="10" spans="1:4" x14ac:dyDescent="0.45">
      <c r="A10" s="1"/>
      <c r="B10" s="52" t="s">
        <v>22</v>
      </c>
      <c r="C10" s="26">
        <v>1.7500000000000002E-2</v>
      </c>
      <c r="D10" s="1"/>
    </row>
    <row r="11" spans="1:4" x14ac:dyDescent="0.45">
      <c r="A11" s="1"/>
      <c r="B11" s="52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9" t="s">
        <v>126</v>
      </c>
      <c r="C17" s="20"/>
      <c r="D17" s="1"/>
    </row>
    <row r="18" spans="1:4" x14ac:dyDescent="0.45">
      <c r="A18" s="1"/>
      <c r="B18" s="52" t="s">
        <v>143</v>
      </c>
      <c r="C18" s="23">
        <v>9.1000000000000004E-3</v>
      </c>
      <c r="D18" s="1"/>
    </row>
    <row r="19" spans="1:4" x14ac:dyDescent="0.45">
      <c r="A19" s="1"/>
      <c r="B19" s="52" t="s">
        <v>144</v>
      </c>
      <c r="C19" s="23">
        <v>1.77E-2</v>
      </c>
      <c r="D19" s="1"/>
    </row>
    <row r="20" spans="1:4" x14ac:dyDescent="0.45">
      <c r="A20" s="1"/>
      <c r="B20" s="52" t="s">
        <v>145</v>
      </c>
      <c r="C20" s="23">
        <v>8.6999999999999994E-3</v>
      </c>
      <c r="D20" s="1"/>
    </row>
    <row r="21" spans="1:4" x14ac:dyDescent="0.45">
      <c r="A21" s="1"/>
      <c r="B21" s="52" t="s">
        <v>146</v>
      </c>
      <c r="C21" s="36">
        <v>2.8400000000000002E-2</v>
      </c>
      <c r="D21" s="1"/>
    </row>
    <row r="22" spans="1:4" x14ac:dyDescent="0.45">
      <c r="A22" s="1"/>
      <c r="B22" s="52" t="s">
        <v>186</v>
      </c>
      <c r="C22" s="36">
        <v>2.75E-2</v>
      </c>
      <c r="D22" s="1"/>
    </row>
    <row r="23" spans="1:4" x14ac:dyDescent="0.45">
      <c r="A23" s="1"/>
      <c r="B23" s="49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9" t="s">
        <v>127</v>
      </c>
      <c r="C26" s="20"/>
      <c r="D26" s="1"/>
    </row>
    <row r="27" spans="1:4" x14ac:dyDescent="0.45">
      <c r="A27" s="1"/>
      <c r="B27" s="52" t="s">
        <v>147</v>
      </c>
      <c r="C27" s="26">
        <v>0.02</v>
      </c>
      <c r="D27" s="1"/>
    </row>
    <row r="28" spans="1:4" x14ac:dyDescent="0.45">
      <c r="A28" s="1"/>
      <c r="B28" s="49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QWiUuqVBNC+a7Fz3ry/aVj/e6kjzvxfD+PFpQ6qB7GuOlC72MwObNxYgP4wz2xbf7MBOTPlezHsiSAFzZM14Q==" saltValue="X+gb4fRPxQFkGg535mGpQA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9" t="s">
        <v>13</v>
      </c>
      <c r="C8" s="50"/>
      <c r="D8" s="20"/>
      <c r="E8" s="1"/>
    </row>
    <row r="9" spans="1:5" x14ac:dyDescent="0.45">
      <c r="A9" s="1"/>
      <c r="B9" s="51" t="s">
        <v>25</v>
      </c>
      <c r="C9" s="7">
        <f>'Fane 3. Omkostninger i ØR2020'!E20</f>
        <v>36309710.760256357</v>
      </c>
      <c r="D9" s="8" t="s">
        <v>3</v>
      </c>
      <c r="E9" s="1"/>
    </row>
    <row r="10" spans="1:5" x14ac:dyDescent="0.45">
      <c r="A10" s="1"/>
      <c r="B10" s="51" t="s">
        <v>244</v>
      </c>
      <c r="C10" s="7">
        <v>-1634.453000498482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tillæg'!C13</f>
        <v>725284.82459999993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tillæg'!E13</f>
        <v>169453.4142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453874.33746188151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-573721.65711374837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-402255.19791042543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-527327.40407110122</v>
      </c>
      <c r="D20" s="8" t="s">
        <v>3</v>
      </c>
      <c r="E20" s="1"/>
    </row>
    <row r="21" spans="1:5" ht="17.100000000000001" customHeight="1" x14ac:dyDescent="0.45">
      <c r="A21" s="1"/>
      <c r="B21" s="53" t="s">
        <v>20</v>
      </c>
      <c r="C21" s="10">
        <f>SUM(C9:C20)</f>
        <v>36153384.624422468</v>
      </c>
      <c r="D21" s="11" t="s">
        <v>3</v>
      </c>
      <c r="E21" s="1"/>
    </row>
    <row r="22" spans="1:5" ht="15" customHeight="1" x14ac:dyDescent="0.45">
      <c r="A22" s="1"/>
      <c r="B22" s="49" t="s">
        <v>12</v>
      </c>
      <c r="C22" s="50"/>
      <c r="D22" s="20"/>
      <c r="E22" s="1"/>
    </row>
    <row r="23" spans="1:5" ht="15" customHeight="1" x14ac:dyDescent="0.45">
      <c r="A23" s="1"/>
      <c r="B23" s="45" t="s">
        <v>12</v>
      </c>
      <c r="C23" s="10">
        <f>'Fane 6. Ikke-påvirkelige omk.'!C17</f>
        <v>28947068.617139783</v>
      </c>
      <c r="D23" s="11" t="s">
        <v>3</v>
      </c>
      <c r="E23" s="1"/>
    </row>
    <row r="24" spans="1:5" ht="15" customHeight="1" x14ac:dyDescent="0.45">
      <c r="A24" s="1"/>
      <c r="B24" s="49" t="s">
        <v>99</v>
      </c>
      <c r="C24" s="50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3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50"/>
      <c r="D28" s="20"/>
      <c r="E28" s="1"/>
    </row>
    <row r="29" spans="1:5" x14ac:dyDescent="0.45">
      <c r="A29" s="1"/>
      <c r="B29" s="39" t="s">
        <v>205</v>
      </c>
      <c r="C29" s="10">
        <f>'Fane 7. Kontrol af ØR2019'!E39</f>
        <v>0</v>
      </c>
      <c r="D29" s="11" t="s">
        <v>3</v>
      </c>
      <c r="E29" s="1"/>
    </row>
    <row r="30" spans="1:5" x14ac:dyDescent="0.45">
      <c r="A30" s="1"/>
      <c r="B30" s="38" t="s">
        <v>245</v>
      </c>
      <c r="C30" s="50"/>
      <c r="D30" s="20"/>
      <c r="E30" s="1"/>
    </row>
    <row r="31" spans="1:5" x14ac:dyDescent="0.45">
      <c r="A31" s="1"/>
      <c r="B31" s="39" t="s">
        <v>246</v>
      </c>
      <c r="C31" s="10">
        <v>58.065696251927882</v>
      </c>
      <c r="D31" s="11" t="s">
        <v>3</v>
      </c>
      <c r="E31" s="1"/>
    </row>
    <row r="32" spans="1:5" x14ac:dyDescent="0.45">
      <c r="A32" s="1"/>
      <c r="B32" s="49" t="s">
        <v>31</v>
      </c>
      <c r="C32" s="32">
        <f>SUM(C21,C23,C27,C29,C31)</f>
        <v>65100511.307258502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SI+LqgxVPLLcepJ8BQGijoM8EVDP5s6rF6uRNXgak0VlieI9lGTBYTjGrNufP1z3aS1qvdYXB09of/qk6nXNFw==" saltValue="qNmkGsXlaFfcH4pPIERus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9" t="s">
        <v>13</v>
      </c>
      <c r="C8" s="50"/>
      <c r="D8" s="20"/>
      <c r="E8" s="1"/>
    </row>
    <row r="9" spans="1:5" ht="15" customHeight="1" x14ac:dyDescent="0.45">
      <c r="A9" s="1"/>
      <c r="B9" s="51" t="s">
        <v>26</v>
      </c>
      <c r="C9" s="7">
        <f>'Fane 2.1. Økonomisk ramme 2021'!C21</f>
        <v>36153384.624422468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3" t="s">
        <v>18</v>
      </c>
      <c r="C12" s="9">
        <f>SUM(C9:C11)*'Fane 12. Nøgletal'!C13</f>
        <v>441071.29241795413</v>
      </c>
      <c r="D12" s="8" t="s">
        <v>3</v>
      </c>
      <c r="E12" s="1"/>
    </row>
    <row r="13" spans="1:5" ht="15" customHeight="1" x14ac:dyDescent="0.45">
      <c r="A13" s="1"/>
      <c r="B13" s="43" t="s">
        <v>9</v>
      </c>
      <c r="C13" s="9">
        <f>-SUM(C9:C12)*'Fane 5. Individuelt eff. krav'!G10</f>
        <v>-557537.91722710873</v>
      </c>
      <c r="D13" s="8" t="s">
        <v>3</v>
      </c>
      <c r="E13" s="1"/>
    </row>
    <row r="14" spans="1:5" ht="15" customHeight="1" x14ac:dyDescent="0.45">
      <c r="A14" s="1"/>
      <c r="B14" s="43" t="s">
        <v>27</v>
      </c>
      <c r="C14" s="9">
        <f>-'Fane 4.1. Gen. krav - drift'!G37</f>
        <v>-399019.45709843398</v>
      </c>
      <c r="D14" s="8" t="s">
        <v>3</v>
      </c>
      <c r="E14" s="1"/>
    </row>
    <row r="15" spans="1:5" ht="15" customHeight="1" x14ac:dyDescent="0.45">
      <c r="A15" s="1"/>
      <c r="B15" s="43" t="s">
        <v>28</v>
      </c>
      <c r="C15" s="9">
        <f>-'Fane 4.2. Gen. krav - anlæg'!G37</f>
        <v>-519082.37644474756</v>
      </c>
      <c r="D15" s="8" t="s">
        <v>3</v>
      </c>
      <c r="E15" s="1"/>
    </row>
    <row r="16" spans="1:5" ht="15" customHeight="1" x14ac:dyDescent="0.45">
      <c r="A16" s="1"/>
      <c r="B16" s="44" t="s">
        <v>20</v>
      </c>
      <c r="C16" s="10">
        <f>SUM(C9:C15)</f>
        <v>35118816.166070126</v>
      </c>
      <c r="D16" s="11" t="s">
        <v>3</v>
      </c>
      <c r="E16" s="1"/>
    </row>
    <row r="17" spans="1:5" x14ac:dyDescent="0.45">
      <c r="A17" s="1"/>
      <c r="B17" s="49" t="s">
        <v>12</v>
      </c>
      <c r="C17" s="50"/>
      <c r="D17" s="20"/>
      <c r="E17" s="1"/>
    </row>
    <row r="18" spans="1:5" ht="15" customHeight="1" x14ac:dyDescent="0.45">
      <c r="A18" s="1"/>
      <c r="B18" s="45" t="s">
        <v>12</v>
      </c>
      <c r="C18" s="10">
        <f>'Fane 6. Ikke-påvirkelige omk.'!C17*(1+'Fane 12. Nøgletal'!C13)</f>
        <v>29300222.854268886</v>
      </c>
      <c r="D18" s="11" t="s">
        <v>3</v>
      </c>
      <c r="E18" s="1"/>
    </row>
    <row r="19" spans="1:5" ht="15" customHeight="1" x14ac:dyDescent="0.45">
      <c r="A19" s="1"/>
      <c r="B19" s="49" t="s">
        <v>99</v>
      </c>
      <c r="C19" s="50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50"/>
      <c r="D23" s="20"/>
      <c r="E23" s="1"/>
    </row>
    <row r="24" spans="1:5" ht="15" customHeight="1" x14ac:dyDescent="0.45">
      <c r="A24" s="1"/>
      <c r="B24" s="54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45">
      <c r="A25" s="1"/>
      <c r="B25" s="49" t="s">
        <v>32</v>
      </c>
      <c r="C25" s="12">
        <f>SUM(C16,C18,C22,C24)</f>
        <v>64419039.020339012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JgmJ9cdPxgocGXyCgOoOk8f8wnBxtBpj1pAWlF3p4A4Jl7YshTRnHVFlnA6bky5UaFhkXAhFgfBLwAWNJceig==" saltValue="ySTicClOrRkExn6Lkf4SL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9" t="s">
        <v>13</v>
      </c>
      <c r="C7" s="50"/>
      <c r="D7" s="20"/>
      <c r="E7" s="1"/>
    </row>
    <row r="8" spans="1:5" ht="15" customHeight="1" x14ac:dyDescent="0.45">
      <c r="A8" s="1"/>
      <c r="B8" s="51" t="s">
        <v>165</v>
      </c>
      <c r="C8" s="7">
        <f>'Fane 2.2. Økonomisk ramme 2022'!C16</f>
        <v>35118816.166070126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428449.55722605559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-541583.36277831229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drift'!G43</f>
        <v>-395809.74458553409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anlæg'!G43</f>
        <v>-510966.26394784573</v>
      </c>
      <c r="D14" s="8" t="s">
        <v>3</v>
      </c>
      <c r="E14" s="1"/>
    </row>
    <row r="15" spans="1:5" x14ac:dyDescent="0.45">
      <c r="A15" s="1"/>
      <c r="B15" s="44" t="s">
        <v>20</v>
      </c>
      <c r="C15" s="10">
        <f>SUM(C8:C14)</f>
        <v>34098906.351984486</v>
      </c>
      <c r="D15" s="11" t="s">
        <v>3</v>
      </c>
      <c r="E15" s="1"/>
    </row>
    <row r="16" spans="1:5" x14ac:dyDescent="0.45">
      <c r="A16" s="1"/>
      <c r="B16" s="49" t="s">
        <v>12</v>
      </c>
      <c r="C16" s="50"/>
      <c r="D16" s="20"/>
      <c r="E16" s="1"/>
    </row>
    <row r="17" spans="1:5" ht="15" customHeight="1" x14ac:dyDescent="0.45">
      <c r="A17" s="1"/>
      <c r="B17" s="45" t="s">
        <v>12</v>
      </c>
      <c r="C17" s="10">
        <f>'Fane 6. Ikke-påvirkelige omk.'!C17*(1+'Fane 12. Nøgletal'!C13)^2</f>
        <v>29657685.573090971</v>
      </c>
      <c r="D17" s="11" t="s">
        <v>3</v>
      </c>
      <c r="E17" s="1"/>
    </row>
    <row r="18" spans="1:5" ht="15" customHeight="1" x14ac:dyDescent="0.45">
      <c r="A18" s="1"/>
      <c r="B18" s="49" t="s">
        <v>99</v>
      </c>
      <c r="C18" s="50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9" t="s">
        <v>109</v>
      </c>
      <c r="C22" s="12">
        <f>SUM(C15,C17,C21)</f>
        <v>63756591.925075457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5VuyEcyGhWWRnStOscsQ0wAIZ0Vr2SIPNFNeW3zi8eX0VrmBkR7iPV24ivPyeeSbOi+7E4D2SWOoXWJ7tQrag==" saltValue="xuqFohOxMHwW+7pBPa8y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9" t="s">
        <v>13</v>
      </c>
      <c r="C7" s="50"/>
      <c r="D7" s="20"/>
      <c r="E7" s="1"/>
    </row>
    <row r="8" spans="1:5" ht="15" customHeight="1" x14ac:dyDescent="0.45">
      <c r="A8" s="1"/>
      <c r="B8" s="51" t="s">
        <v>166</v>
      </c>
      <c r="C8" s="7">
        <f>'Fane 2.3. Økonomisk ramme 2023'!C15</f>
        <v>34098906.351984486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416006.65749421075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-525854.86600236548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drift'!G49</f>
        <v>-392625.85100008809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anlæg'!G49</f>
        <v>-502977.05092788924</v>
      </c>
      <c r="D14" s="8" t="s">
        <v>3</v>
      </c>
      <c r="E14" s="1"/>
    </row>
    <row r="15" spans="1:5" x14ac:dyDescent="0.45">
      <c r="A15" s="1"/>
      <c r="B15" s="44" t="s">
        <v>20</v>
      </c>
      <c r="C15" s="10">
        <f>SUM(C8:C14)</f>
        <v>33093455.241548356</v>
      </c>
      <c r="D15" s="11" t="s">
        <v>3</v>
      </c>
      <c r="E15" s="1"/>
    </row>
    <row r="16" spans="1:5" x14ac:dyDescent="0.45">
      <c r="A16" s="1"/>
      <c r="B16" s="49" t="s">
        <v>12</v>
      </c>
      <c r="C16" s="50"/>
      <c r="D16" s="20"/>
      <c r="E16" s="1"/>
    </row>
    <row r="17" spans="1:5" ht="15" customHeight="1" x14ac:dyDescent="0.45">
      <c r="A17" s="1"/>
      <c r="B17" s="45" t="s">
        <v>12</v>
      </c>
      <c r="C17" s="10">
        <f>'Fane 6. Ikke-påvirkelige omk.'!C17*(1+'Fane 12. Nøgletal'!C13)^3</f>
        <v>30019509.33708268</v>
      </c>
      <c r="D17" s="11" t="s">
        <v>3</v>
      </c>
      <c r="E17" s="1"/>
    </row>
    <row r="18" spans="1:5" ht="15" customHeight="1" x14ac:dyDescent="0.45">
      <c r="A18" s="1"/>
      <c r="B18" s="49" t="s">
        <v>99</v>
      </c>
      <c r="C18" s="50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9" t="s">
        <v>243</v>
      </c>
      <c r="C22" s="12">
        <f>SUM(C15,C17,C21)</f>
        <v>63112964.578631036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bQNRC6bGT7iSPlNve1ml5DmMFPKh6h51YYnYWJuYAXc34a4F9dcch0Mg8Y7PqKjAWa+HqDbn7uwALBqP/o1t8A==" saltValue="RzhQMmC4dclmh8imulvi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9" t="s">
        <v>167</v>
      </c>
      <c r="C8" s="50"/>
      <c r="D8" s="50"/>
      <c r="E8" s="50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35536263.46844437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669258.68130000005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447563.73084060004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622564.25413587957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-401378.56264845445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-390715.44697670365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-173845.36483932665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36309710.760256357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50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27960143.189292382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50"/>
      <c r="F23" s="50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9" t="s">
        <v>228</v>
      </c>
      <c r="C27" s="50"/>
      <c r="D27" s="50"/>
      <c r="E27" s="50"/>
      <c r="F27" s="50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-3421377</v>
      </c>
      <c r="F28" s="11" t="s">
        <v>3</v>
      </c>
      <c r="G28" s="1"/>
    </row>
    <row r="29" spans="1:7" x14ac:dyDescent="0.45">
      <c r="A29" s="1"/>
      <c r="B29" s="49" t="s">
        <v>230</v>
      </c>
      <c r="C29" s="50"/>
      <c r="D29" s="50"/>
      <c r="E29" s="50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265623.36869575013</v>
      </c>
      <c r="F30" s="11" t="s">
        <v>3</v>
      </c>
      <c r="G30" s="1"/>
    </row>
    <row r="31" spans="1:7" x14ac:dyDescent="0.45">
      <c r="A31" s="1"/>
      <c r="B31" s="49" t="s">
        <v>232</v>
      </c>
      <c r="C31" s="50"/>
      <c r="D31" s="50"/>
      <c r="E31" s="50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45">
      <c r="A33" s="1"/>
      <c r="B33" s="49" t="s">
        <v>24</v>
      </c>
      <c r="C33" s="50"/>
      <c r="D33" s="50"/>
      <c r="E33" s="12">
        <f>SUM(E30,E26,E28,E22,E20,E32)</f>
        <v>61114100.318244487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7ov07WP7Rns9GUvshdQhvgDEcmDlPhT+Vu11hqRecSQYVgtweWiT66cRdF29+vMcNKdhh2tY2BGmClvjSsrfrw==" saltValue="rxPIODuIJG1bszENRqqt+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19259981.03032881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385199.62060657621</v>
      </c>
      <c r="H6" s="14" t="s">
        <v>3</v>
      </c>
      <c r="I6" s="1"/>
    </row>
    <row r="7" spans="1:9" x14ac:dyDescent="0.45">
      <c r="A7" s="1"/>
      <c r="B7" s="49"/>
      <c r="C7" s="50"/>
      <c r="D7" s="50"/>
      <c r="E7" s="50"/>
      <c r="F7" s="50"/>
      <c r="G7" s="50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19114491.133625705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382289.82267251413</v>
      </c>
      <c r="H12" s="14" t="s">
        <v>3</v>
      </c>
      <c r="I12" s="1"/>
    </row>
    <row r="13" spans="1:9" x14ac:dyDescent="0.45">
      <c r="A13" s="1"/>
      <c r="B13" s="49"/>
      <c r="C13" s="50"/>
      <c r="D13" s="50"/>
      <c r="E13" s="50"/>
      <c r="F13" s="50"/>
      <c r="G13" s="50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19048775.513108298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-130404.88336968388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378367.41259477229</v>
      </c>
      <c r="H19" s="14" t="s">
        <v>3</v>
      </c>
      <c r="I19" s="1"/>
    </row>
    <row r="20" spans="1:9" x14ac:dyDescent="0.45">
      <c r="A20" s="1"/>
      <c r="B20" s="49"/>
      <c r="C20" s="50"/>
      <c r="D20" s="50"/>
      <c r="E20" s="50"/>
      <c r="F20" s="50"/>
      <c r="G20" s="50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18853329.27151357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682443.07732161006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390715.44697670365</v>
      </c>
      <c r="H25" s="14" t="s">
        <v>3</v>
      </c>
      <c r="I25" s="1"/>
    </row>
    <row r="26" spans="1:9" x14ac:dyDescent="0.45">
      <c r="A26" s="1"/>
      <c r="B26" s="49"/>
      <c r="C26" s="50"/>
      <c r="D26" s="50"/>
      <c r="E26" s="50"/>
      <c r="F26" s="50"/>
      <c r="G26" s="50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19378626.596061151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734133.29946011992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402255.19791042543</v>
      </c>
      <c r="H31" s="14" t="s">
        <v>3</v>
      </c>
      <c r="I31" s="1"/>
    </row>
    <row r="32" spans="1:9" x14ac:dyDescent="0.45">
      <c r="A32" s="1"/>
      <c r="B32" s="49"/>
      <c r="C32" s="50"/>
      <c r="D32" s="50"/>
      <c r="E32" s="50"/>
      <c r="F32" s="50"/>
      <c r="G32" s="50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19950972.854921699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399019.45709843398</v>
      </c>
      <c r="H37" s="14" t="s">
        <v>3</v>
      </c>
      <c r="I37" s="1"/>
    </row>
    <row r="38" spans="1:9" x14ac:dyDescent="0.45">
      <c r="A38" s="1"/>
      <c r="B38" s="49"/>
      <c r="C38" s="50"/>
      <c r="D38" s="50"/>
      <c r="E38" s="50"/>
      <c r="F38" s="50"/>
      <c r="G38" s="50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19790487.229276706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395809.74458553409</v>
      </c>
      <c r="H43" s="14" t="s">
        <v>3</v>
      </c>
      <c r="I43" s="1"/>
    </row>
    <row r="44" spans="1:9" x14ac:dyDescent="0.45">
      <c r="A44" s="1"/>
      <c r="B44" s="49"/>
      <c r="C44" s="50"/>
      <c r="D44" s="50"/>
      <c r="E44" s="50"/>
      <c r="F44" s="50"/>
      <c r="G44" s="50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19631292.550004404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392625.85100008809</v>
      </c>
      <c r="H49" s="14" t="s">
        <v>3</v>
      </c>
      <c r="I49" s="1"/>
    </row>
    <row r="50" spans="1:9" x14ac:dyDescent="0.45">
      <c r="A50" s="1"/>
      <c r="B50" s="49"/>
      <c r="C50" s="50"/>
      <c r="D50" s="50"/>
      <c r="E50" s="50"/>
      <c r="F50" s="50"/>
      <c r="G50" s="50"/>
      <c r="H50" s="20"/>
      <c r="I50" s="1"/>
    </row>
  </sheetData>
  <sheetProtection algorithmName="SHA-512" hashValue="5yaHyjgM5PmB2TRFXgpfYBKDhaLaZmUkbtG+x7XyD4lwsWeSqWlHXF8sL5I3vAV7HvOEwRrQIZyCWYCOAcE8gg==" saltValue="1dZlZNYWds9OokjhEx+ct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18267336.503424563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166232.76218116353</v>
      </c>
      <c r="H6" s="14" t="s">
        <v>3</v>
      </c>
      <c r="I6" s="1"/>
    </row>
    <row r="7" spans="1:9" x14ac:dyDescent="0.45">
      <c r="A7" s="1"/>
      <c r="B7" s="49"/>
      <c r="C7" s="50"/>
      <c r="D7" s="50"/>
      <c r="E7" s="50"/>
      <c r="F7" s="50"/>
      <c r="G7" s="50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18330987.758757189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166811.98860469041</v>
      </c>
      <c r="H12" s="14" t="s">
        <v>3</v>
      </c>
      <c r="I12" s="1"/>
    </row>
    <row r="13" spans="1:9" x14ac:dyDescent="0.45">
      <c r="A13" s="1"/>
      <c r="B13" s="49"/>
      <c r="C13" s="50"/>
      <c r="D13" s="50"/>
      <c r="E13" s="50"/>
      <c r="F13" s="50"/>
      <c r="G13" s="50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18471150.340668075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-126448.41888897445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159598.90671947817</v>
      </c>
      <c r="H19" s="14" t="s">
        <v>3</v>
      </c>
      <c r="I19" s="1"/>
    </row>
    <row r="20" spans="1:9" x14ac:dyDescent="0.45">
      <c r="A20" s="1"/>
      <c r="B20" s="49"/>
      <c r="C20" s="50"/>
      <c r="D20" s="50"/>
      <c r="E20" s="50"/>
      <c r="F20" s="50"/>
      <c r="G20" s="50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18492431.256014127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456380.73633815988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173845.36483932665</v>
      </c>
      <c r="H25" s="14" t="s">
        <v>3</v>
      </c>
      <c r="I25" s="1"/>
    </row>
    <row r="26" spans="1:9" x14ac:dyDescent="0.45">
      <c r="A26" s="1"/>
      <c r="B26" s="49"/>
      <c r="C26" s="50"/>
      <c r="D26" s="50"/>
      <c r="E26" s="50"/>
      <c r="F26" s="50"/>
      <c r="G26" s="50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19004021.22036862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171520.74585323999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527327.40407110122</v>
      </c>
      <c r="H31" s="14" t="s">
        <v>3</v>
      </c>
      <c r="I31" s="1"/>
    </row>
    <row r="32" spans="1:9" x14ac:dyDescent="0.45">
      <c r="A32" s="1"/>
      <c r="B32" s="49"/>
      <c r="C32" s="50"/>
      <c r="D32" s="50"/>
      <c r="E32" s="50"/>
      <c r="F32" s="50"/>
      <c r="G32" s="50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18875722.779809002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519082.37644474756</v>
      </c>
      <c r="H37" s="14" t="s">
        <v>3</v>
      </c>
      <c r="I37" s="1"/>
    </row>
    <row r="38" spans="1:9" x14ac:dyDescent="0.45">
      <c r="A38" s="1"/>
      <c r="B38" s="49"/>
      <c r="C38" s="50"/>
      <c r="D38" s="50"/>
      <c r="E38" s="50"/>
      <c r="F38" s="50"/>
      <c r="G38" s="50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18580591.416285299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510966.26394784573</v>
      </c>
      <c r="H43" s="14" t="s">
        <v>3</v>
      </c>
      <c r="I43" s="1"/>
    </row>
    <row r="44" spans="1:9" x14ac:dyDescent="0.45">
      <c r="A44" s="1"/>
      <c r="B44" s="49"/>
      <c r="C44" s="50"/>
      <c r="D44" s="50"/>
      <c r="E44" s="50"/>
      <c r="F44" s="50"/>
      <c r="G44" s="50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18290074.579195973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502977.05092788924</v>
      </c>
      <c r="H49" s="14" t="s">
        <v>3</v>
      </c>
      <c r="I49" s="1"/>
    </row>
    <row r="50" spans="1:9" x14ac:dyDescent="0.45">
      <c r="A50" s="1"/>
      <c r="B50" s="49"/>
      <c r="C50" s="50"/>
      <c r="D50" s="50"/>
      <c r="E50" s="50"/>
      <c r="F50" s="50"/>
      <c r="G50" s="50"/>
      <c r="H50" s="20"/>
      <c r="I50" s="1"/>
    </row>
  </sheetData>
  <sheetProtection algorithmName="SHA-512" hashValue="UGmHk6bnbVVgx9xTVITH5Ufme8/7akHjldWzwdD90m3qt7gowiNILjAOkneem/PgK0O4t5niqSKi1iz94eH4Sw==" saltValue="vKsn1SHlLrHf2MuP7d+78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1.0767848748386702E-2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1.523558427795985E-2</v>
      </c>
      <c r="H10" s="14"/>
      <c r="I10" s="1"/>
    </row>
    <row r="11" spans="1:9" x14ac:dyDescent="0.45">
      <c r="A11" s="1"/>
      <c r="B11" s="49"/>
      <c r="C11" s="50"/>
      <c r="D11" s="50"/>
      <c r="E11" s="50"/>
      <c r="F11" s="50"/>
      <c r="G11" s="50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OGj1UyK9q5J5IwUHTvodYJalRIYtMEH5QCxlcGsOU/mYJyDNWa9uNmaiLMnbNMBKcRxAlXsnZMZmYje4dxMtA==" saltValue="ZWtHBK9cYce2OfczHEp4A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2020-10-20T08:10:24Z</dcterms:modified>
</cp:coreProperties>
</file>