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Novafos Vand Egedal AS (V041)\ØR2027\"/>
    </mc:Choice>
  </mc:AlternateContent>
  <xr:revisionPtr revIDLastSave="0" documentId="13_ncr:1_{F17935F2-520D-447E-986D-571D097B3381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7" i="3" s="1"/>
  <c r="C9" i="6"/>
  <c r="C13" i="3" l="1"/>
  <c r="C16" i="12"/>
  <c r="C19" i="3" s="1"/>
  <c r="C12" i="3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<sst xmlns="http://schemas.openxmlformats.org/spreadsheetml/2006/main" count="300" uniqueCount="137">
  <si>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</si>
  <si>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</si>
  <si>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</si>
  <si>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</si>
  <si>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</si>
  <si>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</si>
  <si>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</si>
  <si>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</si>
  <si>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</si>
  <si>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</si>
  <si>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</si>
  <si>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</si>
  <si>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</si>
  <si>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</si>
  <si>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</si>
  <si>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</si>
  <si>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</si>
  <si>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</si>
  <si>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</si>
  <si>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</si>
  <si>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</si>
  <si>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</si>
  <si>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</si>
  <si>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</si>
  <si>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</si>
  <si>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</si>
  <si>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</si>
  <si>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</si>
  <si>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</si>
  <si>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</si>
  <si>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</si>
  <si>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</si>
  <si>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</si>
  <si>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</si>
  <si>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</si>
  <si>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</si>
  <si>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</si>
  <si>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</si>
  <si>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</si>
  <si>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</si>
  <si>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</si>
  <si>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</si>
  <si>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</si>
  <si>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</si>
  <si>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</si>
  <si>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</si>
  <si>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</si>
  <si>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</si>
  <si>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</si>
  <si>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</si>
  <si>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</si>
  <si>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</si>
  <si>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</si>
  <si>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</si>
  <si>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</si>
  <si>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</si>
  <si>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</si>
  <si>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</si>
  <si>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</si>
  <si>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</si>
  <si>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</si>
  <si>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</si>
  <si>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</si>
  <si>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</si>
  <si>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</si>
  <si>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</si>
  <si>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</si>
  <si>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</si>
  <si>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</si>
  <si>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</si>
  <si>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</si>
  <si>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</si>
  <si>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</si>
  <si>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</si>
  <si>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</si>
  <si>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</si>
  <si>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</si>
  <si>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</si>
  <si>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</si>
  <si>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</si>
  <si>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</si>
  <si>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</si>
  <si>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</si>
  <si>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</si>
  <si>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</si>
  <si>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</si>
  <si>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</si>
  <si>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</si>
  <si>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</si>
  <si>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</si>
  <si>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</si>
  <si>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</si>
  <si>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</si>
  <si>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</si>
  <si>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</si>
  <si>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</si>
  <si>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</si>
  <si>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</si>
  <si>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</si>
  <si>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</si>
  <si>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</si>
  <si>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</si>
  <si>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</si>
  <si>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</si>
  <si>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</si>
  <si>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</si>
  <si>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</si>
  <si>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</si>
  <si>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</si>
  <si>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</si>
  <si>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</si>
  <si>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</si>
  <si>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</si>
  <si>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</si>
  <si>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</si>
  <si>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</si>
  <si>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</si>
  <si>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</si>
  <si>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</si>
  <si>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</si>
  <si>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</si>
  <si>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</si>
  <si>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</si>
  <si>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</si>
  <si>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</si>
  <si>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</si>
  <si>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</si>
  <si>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</si>
  <si>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</si>
  <si>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</si>
  <si>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Køb af ydelser og produkter fra andre vandselskaber reguleret af vandsektorloven</t>
  </si>
  <si>
    <t>Ejendomsskatter</t>
  </si>
  <si>
    <t>Ingen engangstillæg</t>
  </si>
  <si>
    <t>Afsluttede sager udvidelser i 2024</t>
  </si>
  <si>
    <t>Enkeltstiketableringer</t>
  </si>
  <si>
    <t>Nedsættelse af tillæg for fjernaflæste målere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</si>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</sst>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vertical="top"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5703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wuWbNYZ9dkHjxBcvT+m88fZD3aDWcocakTiqVZLzPF8JYOWUmSd+Znn1pVVWm0rZZo38jwTQ9XZ/pnAgqwgnuQ==" saltValue="FaWiZ6ninK9/jNKPVrhxDA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94</v>
      </c>
      <c r="C8" s="80"/>
      <c r="D8" s="81"/>
      <c r="E8" s="7"/>
    </row>
    <row r="9" spans="1:5" ht="15" customHeight="1" x14ac:dyDescent="0.25">
      <c r="A9" s="7"/>
      <c r="B9" s="107" t="s">
        <v>95</v>
      </c>
      <c r="C9" s="29"/>
      <c r="D9" s="42" t="s">
        <v>31</v>
      </c>
      <c r="E9" s="7"/>
    </row>
    <row r="10" spans="1:5" ht="15" customHeight="1" x14ac:dyDescent="0.25">
      <c r="A10" s="7"/>
      <c r="B10" s="108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09" t="s">
        <v>96</v>
      </c>
      <c r="C11" s="91">
        <f>SUM(C9:C10)*(1+'8. Nøgletal'!C9)*(1+'8. Nøgletal'!C10)</f>
        <v>0</v>
      </c>
      <c r="D11" s="92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AmidyxRZzfk0RngL9+KSSeCZgt5mWGJfdZo7VmbUNdK2+hLP4lc5+CpqYIsk5zfGRguXx7D8UdOW/DWqhRYIPg==" saltValue="Q291Y/1+mFkKHxbm9Z7jW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95" t="s">
        <v>98</v>
      </c>
      <c r="C9" s="110"/>
      <c r="D9" s="95" t="s">
        <v>31</v>
      </c>
      <c r="E9" s="7"/>
    </row>
    <row r="10" spans="1:5" ht="14.25" customHeight="1" x14ac:dyDescent="0.25">
      <c r="A10" s="7"/>
      <c r="B10" s="40" t="s">
        <v>99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95" t="s">
        <v>122</v>
      </c>
      <c r="C13" s="110"/>
      <c r="D13" s="95" t="s">
        <v>31</v>
      </c>
      <c r="E13" s="7"/>
    </row>
    <row r="14" spans="1:5" ht="14.25" customHeight="1" x14ac:dyDescent="0.25">
      <c r="A14" s="7"/>
      <c r="B14" s="40" t="s">
        <v>100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1">
        <f>C11+C15</f>
        <v>0</v>
      </c>
      <c r="D16" s="92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GkCq3+NAW9RL+gNDw/JAk/SdQgrLe3zD1BnYkV6a2xS9xqG7lhh4V4LCFwIR3M5Uj2npZD+r3Xc2QwMEDi81dA==" saltValue="XDXITE15OPOcI6kWQqyX5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11" t="s">
        <v>61</v>
      </c>
      <c r="C9" s="112" t="s">
        <v>63</v>
      </c>
      <c r="D9" s="113"/>
      <c r="E9" s="112" t="s">
        <v>62</v>
      </c>
      <c r="F9" s="113"/>
      <c r="G9" s="112" t="s">
        <v>64</v>
      </c>
      <c r="H9" s="113"/>
      <c r="I9" s="7"/>
    </row>
    <row r="10" spans="1:9" ht="15" customHeight="1" x14ac:dyDescent="0.25">
      <c r="A10" s="7"/>
      <c r="B10" s="107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1">
        <f>SUM(C10:C10)</f>
        <v>0</v>
      </c>
      <c r="D11" s="91" t="s">
        <v>66</v>
      </c>
      <c r="E11" s="91">
        <f>SUM(E10:E10)</f>
        <v>0</v>
      </c>
      <c r="F11" s="91" t="s">
        <v>66</v>
      </c>
      <c r="G11" s="91">
        <f>SUM(G10:G10)</f>
        <v>0</v>
      </c>
      <c r="H11" s="92" t="s">
        <v>31</v>
      </c>
      <c r="I11" s="7"/>
    </row>
    <row r="12" spans="1:9" ht="15" customHeight="1" x14ac:dyDescent="0.25">
      <c r="A12" s="7"/>
      <c r="B12" s="21" t="s">
        <v>101</v>
      </c>
      <c r="C12" s="91">
        <f>C11*(1+'8. Nøgletal'!C9)</f>
        <v>0</v>
      </c>
      <c r="D12" s="91" t="s">
        <v>66</v>
      </c>
      <c r="E12" s="91">
        <f>E11*(1+'8. Nøgletal'!C9)</f>
        <v>0</v>
      </c>
      <c r="F12" s="91" t="s">
        <v>66</v>
      </c>
      <c r="G12" s="91">
        <f>G11*(1+'8. Nøgletal'!C9)</f>
        <v>0</v>
      </c>
      <c r="H12" s="92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LYbbmgl/AsqVX68GVkwXOXsyhxg3EFS20PYyw3WmHNKsBHfEpEci/n9XU3yfunMCHQknCX5ON/ZJMWXBXicBUw==" saltValue="RVZXpqLWr40XhvRqr5QUH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102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69</v>
      </c>
      <c r="C9" s="115" t="s">
        <v>51</v>
      </c>
      <c r="D9" s="116"/>
      <c r="E9" s="115" t="s">
        <v>52</v>
      </c>
      <c r="F9" s="116"/>
      <c r="G9" s="7"/>
    </row>
    <row r="10" spans="1:7" ht="15" customHeight="1" x14ac:dyDescent="0.25">
      <c r="A10" s="7"/>
      <c r="B10" s="117" t="s">
        <v>135</v>
      </c>
      <c r="C10" s="29">
        <v>0</v>
      </c>
      <c r="D10" s="42" t="s">
        <v>31</v>
      </c>
      <c r="E10" s="29">
        <v>461345.4098568348</v>
      </c>
      <c r="F10" s="42" t="s">
        <v>31</v>
      </c>
      <c r="G10" s="7"/>
    </row>
    <row r="11" spans="1:7" ht="15" customHeight="1" x14ac:dyDescent="0.25">
      <c r="A11" s="7"/>
      <c r="B11" s="21" t="s">
        <v>70</v>
      </c>
      <c r="C11" s="91">
        <f>SUM(C10:C10)</f>
        <v>0</v>
      </c>
      <c r="D11" s="92" t="s">
        <v>31</v>
      </c>
      <c r="E11" s="91">
        <f>SUM(E10:E10)</f>
        <v>461345.4098568348</v>
      </c>
      <c r="F11" s="92" t="s">
        <v>31</v>
      </c>
      <c r="G11" s="7"/>
    </row>
    <row r="12" spans="1:7" ht="15" customHeight="1" x14ac:dyDescent="0.25">
      <c r="A12" s="7"/>
      <c r="B12" s="21" t="s">
        <v>103</v>
      </c>
      <c r="C12" s="91">
        <f>C11*(1+'8. Nøgletal'!C9)</f>
        <v>0</v>
      </c>
      <c r="D12" s="92" t="s">
        <v>31</v>
      </c>
      <c r="E12" s="91">
        <f>E11*(1+'8. Nøgletal'!C9)</f>
        <v>491932.61053034296</v>
      </c>
      <c r="F12" s="92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6"/>
      <c r="C14" s="106"/>
      <c r="D14" s="106"/>
      <c r="E14" s="106"/>
      <c r="F14" s="106"/>
      <c r="G14" s="7"/>
    </row>
  </sheetData>
  <sheetProtection algorithmName="SHA-512" hashValue="sEUM0FHaQ6s6iNb8l9qNoyzGCui2MejkzvJkhKWVx1QlwNlMbPt/kS/+H76LJ6baCDVx1kRAO34uHTQ8RulD7w==" saltValue="/6ptbtWQKBHu/celMjCRO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71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72</v>
      </c>
      <c r="C9" s="118" t="s">
        <v>51</v>
      </c>
      <c r="D9" s="104"/>
      <c r="E9" s="118" t="s">
        <v>52</v>
      </c>
      <c r="F9" s="104"/>
      <c r="G9" s="7"/>
    </row>
    <row r="10" spans="1:7" ht="26.25" customHeight="1" x14ac:dyDescent="0.25">
      <c r="A10" s="7"/>
      <c r="B10" s="119" t="s">
        <v>116</v>
      </c>
      <c r="C10" s="96"/>
      <c r="D10" s="97" t="s">
        <v>31</v>
      </c>
      <c r="E10" s="96"/>
      <c r="F10" s="97" t="s">
        <v>31</v>
      </c>
      <c r="G10" s="7"/>
    </row>
    <row r="11" spans="1:7" ht="26.25" customHeight="1" x14ac:dyDescent="0.25">
      <c r="A11" s="7"/>
      <c r="B11" s="120" t="s">
        <v>117</v>
      </c>
      <c r="C11" s="121">
        <f>SUM(C10:C10)</f>
        <v>0</v>
      </c>
      <c r="D11" s="122" t="s">
        <v>31</v>
      </c>
      <c r="E11" s="121">
        <f>SUM(E10:E10)</f>
        <v>0</v>
      </c>
      <c r="F11" s="122" t="s">
        <v>31</v>
      </c>
      <c r="G11" s="7"/>
    </row>
    <row r="12" spans="1:7" ht="26.25" customHeight="1" x14ac:dyDescent="0.25">
      <c r="A12" s="7"/>
      <c r="B12" s="120" t="s">
        <v>104</v>
      </c>
      <c r="C12" s="121">
        <f>C11*(1+'8. Nøgletal'!C9)</f>
        <v>0</v>
      </c>
      <c r="D12" s="122" t="s">
        <v>31</v>
      </c>
      <c r="E12" s="121">
        <f>E11*(1+'8. Nøgletal'!C9)</f>
        <v>0</v>
      </c>
      <c r="F12" s="122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4FfMA531QrV9RbyuR5kOQcdm08OB8KnQ11wdPt5l6r5YWKrSfn/MjrZGkO1RNFC+uu+kEN8gpGSUGGiEudjgJQ==" saltValue="LWyNyWc2MMP3YXQDP9JRj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5703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73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3" t="s">
        <v>74</v>
      </c>
      <c r="C9" s="3">
        <v>6.6299999999999998E-2</v>
      </c>
      <c r="D9" s="18"/>
    </row>
    <row r="10" spans="1:4" ht="15" customHeight="1" x14ac:dyDescent="0.25">
      <c r="A10" s="7"/>
      <c r="B10" s="123" t="s">
        <v>105</v>
      </c>
      <c r="C10" s="3">
        <v>1.29E-2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75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NaxvSnhI0s+Xm88YiZTLJC89VQ0QrOOFg9AobbcePZ97Bd2HIcTvwXpxb82qSrwOQIblKF5uEjljY0t8fkyAZg==" saltValue="YgLtYAltrJtSAydnIGi4kQ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12931370.622772854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105923.1124095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-491932.61053034296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-213271.1391190842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159083.96081337475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12491173.946346302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0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hidden="1" customHeight="1" x14ac:dyDescent="0.25">
      <c r="A19" s="7"/>
      <c r="B19" s="24" t="s">
        <v>22</v>
      </c>
      <c r="C19" s="30">
        <f>'5.5. Korr. af ØR2025'!C16</f>
        <v>0</v>
      </c>
      <c r="D19" s="35" t="s">
        <v>31</v>
      </c>
      <c r="E19" s="7"/>
    </row>
    <row r="20" spans="1:5" ht="15" customHeight="1" x14ac:dyDescent="0.25">
      <c r="A20" s="7"/>
      <c r="B20" s="34" t="s">
        <v>41</v>
      </c>
      <c r="C20" s="30">
        <v>0</v>
      </c>
      <c r="D20" s="35" t="s">
        <v>31</v>
      </c>
      <c r="E20" s="7"/>
    </row>
    <row r="21" spans="1:5" ht="15" customHeight="1" x14ac:dyDescent="0.25">
      <c r="A21" s="7"/>
      <c r="B21" s="21" t="s">
        <v>4</v>
      </c>
      <c r="C21" s="37">
        <f>SUM(C16:C20)</f>
        <v>12491173.946346302</v>
      </c>
      <c r="D21" s="23" t="s">
        <v>31</v>
      </c>
      <c r="E21" s="7"/>
    </row>
    <row r="22" spans="1:5" ht="15" customHeight="1" x14ac:dyDescent="0.25">
      <c r="A22" s="7"/>
      <c r="B22" s="7"/>
      <c r="C22" s="7"/>
      <c r="D22" s="7"/>
      <c r="E22" s="7"/>
    </row>
    <row r="23" spans="1:5" ht="15" customHeight="1" x14ac:dyDescent="0.25">
      <c r="A23" s="7"/>
      <c r="B23" s="7"/>
      <c r="C23" s="7"/>
      <c r="D23" s="7"/>
      <c r="E23" s="7"/>
    </row>
  </sheetData>
  <sheetProtection algorithmName="SHA-512" hashValue="yDdip3alipWCG144DCwpubJ7Truzvv0l5aIiPwoRBkyIoxZM5d+Y+sCRR1oxA034SpmWee0SmQ7+U5QIdnvoxw==" saltValue="PuJMHZ4T6xaF16rjQ7sF2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76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77</v>
      </c>
      <c r="C8" s="22"/>
      <c r="D8" s="23"/>
      <c r="E8" s="7"/>
    </row>
    <row r="9" spans="1:5" ht="15" customHeight="1" x14ac:dyDescent="0.25">
      <c r="A9" s="7"/>
      <c r="B9" s="40" t="s">
        <v>111</v>
      </c>
      <c r="C9" s="41">
        <v>16014520</v>
      </c>
      <c r="D9" s="42" t="s">
        <v>31</v>
      </c>
      <c r="E9" s="7"/>
    </row>
    <row r="10" spans="1:5" ht="15" customHeight="1" x14ac:dyDescent="0.25">
      <c r="A10" s="7"/>
      <c r="B10" s="40" t="s">
        <v>113</v>
      </c>
      <c r="C10" s="41">
        <f>'3. Omk. i ØR2026'!C10</f>
        <v>134871.55156170001</v>
      </c>
      <c r="D10" s="42" t="s">
        <v>31</v>
      </c>
      <c r="E10" s="7"/>
    </row>
    <row r="11" spans="1:5" ht="15" customHeight="1" x14ac:dyDescent="0.25">
      <c r="A11" s="7"/>
      <c r="B11" s="40" t="s">
        <v>114</v>
      </c>
      <c r="C11" s="43">
        <f>'5.1. § 10-tillæg'!C20+'5.2. Varige tillæg'!C18+'5.2. Varige tillæg'!E18+'5.3. Engangstillæg'!C13+'5.3. Engangstillæg'!E13</f>
        <v>110986.24473197</v>
      </c>
      <c r="D11" s="42" t="s">
        <v>31</v>
      </c>
      <c r="E11" s="7"/>
    </row>
    <row r="12" spans="1:5" ht="15" customHeight="1" x14ac:dyDescent="0.25">
      <c r="A12" s="7"/>
      <c r="B12" s="31" t="s">
        <v>112</v>
      </c>
      <c r="C12" s="32">
        <f>C9+C10+C11</f>
        <v>16260377.79629367</v>
      </c>
      <c r="D12" s="33" t="s">
        <v>31</v>
      </c>
      <c r="E12" s="7"/>
    </row>
    <row r="13" spans="1:5" ht="15" customHeight="1" x14ac:dyDescent="0.25">
      <c r="A13" s="7"/>
      <c r="B13" s="40" t="s">
        <v>78</v>
      </c>
      <c r="C13" s="41">
        <v>16294501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115</v>
      </c>
      <c r="C15" s="37">
        <f>C12-C13</f>
        <v>-34123.203706329688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79</v>
      </c>
      <c r="C17" s="22"/>
      <c r="D17" s="23"/>
      <c r="E17" s="7"/>
    </row>
    <row r="18" spans="1:5" ht="15" customHeight="1" x14ac:dyDescent="0.25">
      <c r="A18" s="7"/>
      <c r="B18" s="40" t="s">
        <v>110</v>
      </c>
      <c r="C18" s="41">
        <v>70761</v>
      </c>
      <c r="D18" s="42" t="s">
        <v>31</v>
      </c>
      <c r="E18" s="7"/>
    </row>
    <row r="19" spans="1:5" ht="15" customHeight="1" x14ac:dyDescent="0.25">
      <c r="A19" s="7"/>
      <c r="B19" s="21" t="s">
        <v>123</v>
      </c>
      <c r="C19" s="37">
        <f>C15+C18</f>
        <v>36637.796293670312</v>
      </c>
      <c r="D19" s="23" t="s">
        <v>31</v>
      </c>
      <c r="E19" s="7"/>
    </row>
    <row r="20" spans="1:5" ht="45" customHeight="1" x14ac:dyDescent="0.25">
      <c r="A20" s="7"/>
      <c r="B20" s="45" t="s">
        <v>124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125</v>
      </c>
      <c r="C22" s="22"/>
      <c r="D22" s="23"/>
      <c r="E22" s="7"/>
    </row>
    <row r="23" spans="1:5" ht="26.25" x14ac:dyDescent="0.25">
      <c r="A23" s="7"/>
      <c r="B23" s="48" t="s">
        <v>126</v>
      </c>
      <c r="C23" s="49">
        <f>100*70761/(14346340+187964)</f>
        <v>0.48685509811821742</v>
      </c>
      <c r="D23" s="42" t="s">
        <v>127</v>
      </c>
      <c r="E23" s="7"/>
    </row>
    <row r="24" spans="1:5" ht="26.25" x14ac:dyDescent="0.25">
      <c r="A24" s="7"/>
      <c r="B24" s="48" t="s">
        <v>128</v>
      </c>
      <c r="C24" s="49">
        <f>C19/C12*100</f>
        <v>0.22531946522190519</v>
      </c>
      <c r="D24" s="42" t="s">
        <v>127</v>
      </c>
      <c r="E24" s="7"/>
    </row>
    <row r="25" spans="1:5" ht="56.25" customHeight="1" x14ac:dyDescent="0.25">
      <c r="A25" s="7"/>
      <c r="B25" s="50" t="s">
        <v>129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I+aE1P3FRwrYMAJoCj6bIUV4RYjZ5pPYaeLiWm6eePfL5aqW/UCCTYRA3FlrN73Y7JNrkX0SW+EKEro18p1RxQ==" saltValue="6BpTGJXBts8jVrSv4LHGu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80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118</v>
      </c>
      <c r="C8" s="56"/>
      <c r="D8" s="57"/>
      <c r="E8" s="53"/>
    </row>
    <row r="9" spans="1:5" ht="15" customHeight="1" x14ac:dyDescent="0.25">
      <c r="A9" s="53"/>
      <c r="B9" s="58" t="s">
        <v>106</v>
      </c>
      <c r="C9" s="59">
        <v>12202187.174887775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134871.55156170001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-209729.99834964107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804041.89467301895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12931370.622772854</v>
      </c>
      <c r="D16" s="67" t="s">
        <v>31</v>
      </c>
      <c r="E16" s="53"/>
    </row>
    <row r="17" spans="1:5" ht="15" customHeight="1" x14ac:dyDescent="0.25">
      <c r="A17" s="53"/>
      <c r="B17" s="68" t="s">
        <v>107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-494208.11579093523</v>
      </c>
      <c r="D19" s="73" t="s">
        <v>31</v>
      </c>
      <c r="E19" s="53"/>
    </row>
    <row r="20" spans="1:5" ht="15" customHeight="1" x14ac:dyDescent="0.25">
      <c r="A20" s="53"/>
      <c r="B20" s="58" t="s">
        <v>108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0</v>
      </c>
      <c r="D21" s="69" t="s">
        <v>31</v>
      </c>
      <c r="E21" s="53"/>
    </row>
    <row r="22" spans="1:5" ht="15" customHeight="1" x14ac:dyDescent="0.25">
      <c r="A22" s="53"/>
      <c r="B22" s="55" t="s">
        <v>136</v>
      </c>
      <c r="C22" s="74">
        <v>12437162.506981919</v>
      </c>
      <c r="D22" s="57" t="s">
        <v>31</v>
      </c>
      <c r="E22" s="53"/>
    </row>
    <row r="23" spans="1:5" ht="30" customHeight="1" x14ac:dyDescent="0.25">
      <c r="A23" s="53"/>
      <c r="B23" s="75" t="s">
        <v>119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j2HuXUHOS22W+eDKErQUt/PfBXzrVVqICrPcT5AkypdhlIlEs9/wJcG3looK8UJoJQbi9b8oMY1ozqzUahLs1w==" saltValue="PSHFTNtWGmJF5n/XlsErA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81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12931370.622772854</v>
      </c>
      <c r="D9" s="42" t="s">
        <v>31</v>
      </c>
      <c r="E9" s="7"/>
    </row>
    <row r="10" spans="1:5" ht="15" customHeight="1" x14ac:dyDescent="0.25">
      <c r="A10" s="7"/>
      <c r="B10" s="84" t="s">
        <v>82</v>
      </c>
      <c r="C10" s="2">
        <f>SUM('1. Økonomisk ramme 2027'!C10:C13)</f>
        <v>-386009.49812084297</v>
      </c>
      <c r="D10" s="42" t="s">
        <v>31</v>
      </c>
      <c r="E10" s="7"/>
    </row>
    <row r="11" spans="1:5" ht="15" customHeight="1" x14ac:dyDescent="0.25">
      <c r="A11" s="7"/>
      <c r="B11" s="84" t="s">
        <v>83</v>
      </c>
      <c r="C11" s="2">
        <f>SUM(C9:C10)</f>
        <v>12545361.124652011</v>
      </c>
      <c r="D11" s="42" t="s">
        <v>31</v>
      </c>
      <c r="E11" s="7"/>
    </row>
    <row r="12" spans="1:5" ht="15" customHeight="1" x14ac:dyDescent="0.25">
      <c r="A12" s="7"/>
      <c r="B12" s="21" t="s">
        <v>84</v>
      </c>
      <c r="C12" s="37">
        <f>-C11*'8. Nøgletal'!C14</f>
        <v>-213271.1391190842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EahV4hViY+O6dH547d/AJzAm8L1HHQqNiLHHevLq/y0i5t64ByVXjurXfZMHpAtuORACP+3M9/9JbLWXYbFmnA==" saltValue="U/bFZISuKnx79SZNc2Ovt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85</v>
      </c>
      <c r="C8" s="86"/>
      <c r="D8" s="87"/>
      <c r="E8" s="7"/>
    </row>
    <row r="9" spans="1:5" ht="15" customHeight="1" x14ac:dyDescent="0.25">
      <c r="A9" s="7"/>
      <c r="B9" s="88" t="s">
        <v>120</v>
      </c>
      <c r="C9" s="29">
        <f>'5.1.a. § 10-tillæg'!E9</f>
        <v>0</v>
      </c>
      <c r="D9" s="42" t="s">
        <v>31</v>
      </c>
      <c r="E9" s="7"/>
    </row>
    <row r="10" spans="1:5" ht="15" customHeight="1" x14ac:dyDescent="0.25">
      <c r="A10" s="7"/>
      <c r="B10" s="88" t="s">
        <v>121</v>
      </c>
      <c r="C10" s="29">
        <f>'5.1.a. § 10-tillæg'!E10</f>
        <v>1294.6062666500002</v>
      </c>
      <c r="D10" s="42" t="s">
        <v>31</v>
      </c>
      <c r="E10" s="7"/>
    </row>
    <row r="11" spans="1:5" ht="15" customHeight="1" x14ac:dyDescent="0.25">
      <c r="A11" s="7"/>
      <c r="B11" s="88" t="s">
        <v>130</v>
      </c>
      <c r="C11" s="29">
        <f>'5.1.a. § 10-tillæg'!E11</f>
        <v>0</v>
      </c>
      <c r="D11" s="42" t="s">
        <v>31</v>
      </c>
      <c r="E11" s="7"/>
    </row>
    <row r="12" spans="1:5" ht="15" customHeight="1" x14ac:dyDescent="0.25">
      <c r="A12" s="7"/>
      <c r="B12" s="88" t="s">
        <v>131</v>
      </c>
      <c r="C12" s="29">
        <f>'5.1.a. § 10-tillæg'!E12</f>
        <v>8636.6384653200003</v>
      </c>
      <c r="D12" s="42" t="s">
        <v>31</v>
      </c>
      <c r="E12" s="7"/>
    </row>
    <row r="13" spans="1:5" ht="15" customHeight="1" x14ac:dyDescent="0.25">
      <c r="A13" s="7"/>
      <c r="B13" s="89"/>
      <c r="C13" s="90"/>
      <c r="D13" s="42" t="s">
        <v>31</v>
      </c>
      <c r="E13" s="7"/>
    </row>
    <row r="14" spans="1:5" ht="15" customHeight="1" x14ac:dyDescent="0.25">
      <c r="A14" s="7"/>
      <c r="B14" s="89"/>
      <c r="C14" s="90"/>
      <c r="D14" s="42" t="s">
        <v>31</v>
      </c>
      <c r="E14" s="7"/>
    </row>
    <row r="15" spans="1:5" ht="15" customHeight="1" x14ac:dyDescent="0.25">
      <c r="A15" s="7"/>
      <c r="B15" s="89"/>
      <c r="C15" s="90"/>
      <c r="D15" s="42" t="s">
        <v>31</v>
      </c>
      <c r="E15" s="7"/>
    </row>
    <row r="16" spans="1:5" ht="15" customHeight="1" x14ac:dyDescent="0.25">
      <c r="A16" s="7"/>
      <c r="B16" s="89"/>
      <c r="C16" s="90"/>
      <c r="D16" s="42" t="s">
        <v>31</v>
      </c>
      <c r="E16" s="7"/>
    </row>
    <row r="17" spans="1:5" ht="15" customHeight="1" x14ac:dyDescent="0.25">
      <c r="A17" s="7"/>
      <c r="B17" s="89"/>
      <c r="C17" s="90"/>
      <c r="D17" s="42" t="s">
        <v>31</v>
      </c>
      <c r="E17" s="7"/>
    </row>
    <row r="18" spans="1:5" ht="15" customHeight="1" x14ac:dyDescent="0.25">
      <c r="A18" s="7"/>
      <c r="B18" s="89"/>
      <c r="C18" s="90"/>
      <c r="D18" s="42" t="s">
        <v>31</v>
      </c>
      <c r="E18" s="7"/>
    </row>
    <row r="19" spans="1:5" ht="15" customHeight="1" x14ac:dyDescent="0.25">
      <c r="A19" s="7"/>
      <c r="B19" s="89"/>
      <c r="C19" s="90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1">
        <f>SUM(C9:C19)</f>
        <v>9931.2447319700004</v>
      </c>
      <c r="D20" s="92" t="s">
        <v>31</v>
      </c>
      <c r="E20" s="7"/>
    </row>
    <row r="21" spans="1:5" ht="15" customHeight="1" x14ac:dyDescent="0.25">
      <c r="A21" s="7"/>
      <c r="B21" s="93"/>
      <c r="C21" s="94"/>
      <c r="D21" s="94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26.25" customHeight="1" x14ac:dyDescent="0.25">
      <c r="A24" s="7"/>
      <c r="B24" s="95" t="s">
        <v>48</v>
      </c>
      <c r="C24" s="96">
        <v>0</v>
      </c>
      <c r="D24" s="97" t="s">
        <v>31</v>
      </c>
      <c r="E24" s="7"/>
    </row>
    <row r="25" spans="1:5" ht="15" customHeight="1" x14ac:dyDescent="0.25">
      <c r="A25" s="7"/>
      <c r="B25" s="21" t="s">
        <v>46</v>
      </c>
      <c r="C25" s="91">
        <f>SUM(C23:C24)</f>
        <v>0</v>
      </c>
      <c r="D25" s="92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Km7bbgO0meD7W8Xwu8dntk3w53J1/lIAIMN3ZijTi2gD/IHWx0cO6RCsiBJJOcRmiew4xPthAeFpvAaKUc5ANw==" saltValue="6zK5XMy73oMGnIy0uWMzP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5703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86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8" t="s">
        <v>109</v>
      </c>
      <c r="C8" s="99" t="s">
        <v>87</v>
      </c>
      <c r="D8" s="100" t="s">
        <v>88</v>
      </c>
      <c r="E8" s="100" t="s">
        <v>89</v>
      </c>
      <c r="F8" s="23"/>
      <c r="G8" s="7"/>
    </row>
    <row r="9" spans="1:7" ht="15" customHeight="1" x14ac:dyDescent="0.25">
      <c r="A9" s="7"/>
      <c r="B9" s="88" t="s">
        <v>120</v>
      </c>
      <c r="C9" s="29">
        <v>4271826.9728214201</v>
      </c>
      <c r="D9" s="29">
        <v>4072343</v>
      </c>
      <c r="E9" s="29">
        <f>MAX(D9-C9,0)</f>
        <v>0</v>
      </c>
      <c r="F9" s="42" t="s">
        <v>31</v>
      </c>
      <c r="G9" s="7"/>
    </row>
    <row r="10" spans="1:7" ht="15" customHeight="1" x14ac:dyDescent="0.25">
      <c r="A10" s="7"/>
      <c r="B10" s="88" t="s">
        <v>121</v>
      </c>
      <c r="C10" s="29">
        <v>16162.39373335</v>
      </c>
      <c r="D10" s="29">
        <v>17457</v>
      </c>
      <c r="E10" s="29">
        <f t="shared" ref="E10:E19" si="0">MAX(D10-C10,0)</f>
        <v>1294.6062666500002</v>
      </c>
      <c r="F10" s="42" t="s">
        <v>31</v>
      </c>
      <c r="G10" s="7"/>
    </row>
    <row r="11" spans="1:7" ht="42" customHeight="1" x14ac:dyDescent="0.25">
      <c r="A11" s="7"/>
      <c r="B11" s="88" t="s">
        <v>130</v>
      </c>
      <c r="C11" s="29">
        <v>17900.860143360002</v>
      </c>
      <c r="D11" s="29">
        <v>2751</v>
      </c>
      <c r="E11" s="29">
        <f t="shared" si="0"/>
        <v>0</v>
      </c>
      <c r="F11" s="42" t="s">
        <v>31</v>
      </c>
      <c r="G11" s="7"/>
    </row>
    <row r="12" spans="1:7" ht="15" customHeight="1" x14ac:dyDescent="0.25">
      <c r="A12" s="7"/>
      <c r="B12" s="88" t="s">
        <v>131</v>
      </c>
      <c r="C12" s="29">
        <v>650.36153467999998</v>
      </c>
      <c r="D12" s="29">
        <v>9287</v>
      </c>
      <c r="E12" s="29">
        <f t="shared" si="0"/>
        <v>8636.6384653200003</v>
      </c>
      <c r="F12" s="42" t="s">
        <v>31</v>
      </c>
      <c r="G12" s="7"/>
    </row>
    <row r="13" spans="1:7" ht="15" hidden="1" customHeight="1" x14ac:dyDescent="0.25">
      <c r="A13" s="7"/>
      <c r="B13" s="89"/>
      <c r="C13" s="29"/>
      <c r="D13" s="29"/>
      <c r="E13" s="29">
        <f t="shared" si="0"/>
        <v>0</v>
      </c>
      <c r="F13" s="42" t="s">
        <v>31</v>
      </c>
      <c r="G13" s="7"/>
    </row>
    <row r="14" spans="1:7" ht="15" hidden="1" customHeight="1" x14ac:dyDescent="0.25">
      <c r="A14" s="7"/>
      <c r="B14" s="89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89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89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89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89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89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1"/>
      <c r="D20" s="91"/>
      <c r="E20" s="91"/>
      <c r="F20" s="92"/>
      <c r="G20" s="7"/>
    </row>
    <row r="21" spans="1:7" ht="39.75" customHeight="1" x14ac:dyDescent="0.25">
      <c r="A21" s="7"/>
      <c r="B21" s="45" t="s">
        <v>90</v>
      </c>
      <c r="C21" s="46"/>
      <c r="D21" s="46"/>
      <c r="E21" s="46"/>
      <c r="F21" s="47"/>
      <c r="G21" s="7"/>
    </row>
    <row r="22" spans="1:7" ht="15" customHeight="1" x14ac:dyDescent="0.25">
      <c r="A22" s="7"/>
      <c r="B22" s="101"/>
      <c r="C22" s="94"/>
      <c r="D22" s="94"/>
      <c r="E22" s="94"/>
      <c r="F22" s="94"/>
      <c r="G22" s="7"/>
    </row>
    <row r="23" spans="1:7" ht="15" customHeight="1" x14ac:dyDescent="0.25">
      <c r="A23" s="7"/>
      <c r="B23" s="101"/>
      <c r="C23" s="94"/>
      <c r="D23" s="94"/>
      <c r="E23" s="94"/>
      <c r="F23" s="94"/>
      <c r="G23" s="7"/>
    </row>
  </sheetData>
  <sheetProtection algorithmName="SHA-512" hashValue="E39WoZf88Q2eEvlB+3hfIFu7y6Kb9zA8GTDeEYZwI/Oh5rppKawv9b3l3E7CFtiohJzyK2xEcYIVdTvtTduozQ==" saltValue="zQG/K6Gfyn4SpwyJ7RLjh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133</v>
      </c>
      <c r="C10" s="29">
        <v>0</v>
      </c>
      <c r="D10" s="42" t="s">
        <v>31</v>
      </c>
      <c r="E10" s="29">
        <v>19973</v>
      </c>
      <c r="F10" s="42" t="s">
        <v>31</v>
      </c>
      <c r="G10" s="7"/>
    </row>
    <row r="11" spans="1:7" ht="15" customHeight="1" x14ac:dyDescent="0.25">
      <c r="A11" s="7"/>
      <c r="B11" s="105" t="s">
        <v>134</v>
      </c>
      <c r="C11" s="29">
        <v>56579</v>
      </c>
      <c r="D11" s="42" t="s">
        <v>31</v>
      </c>
      <c r="E11" s="29">
        <v>24503</v>
      </c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5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5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5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5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5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91</v>
      </c>
      <c r="C18" s="91">
        <f>SUM(C10:C17)</f>
        <v>56579</v>
      </c>
      <c r="D18" s="92" t="s">
        <v>31</v>
      </c>
      <c r="E18" s="91">
        <f>SUM(E10:E17)</f>
        <v>44476</v>
      </c>
      <c r="F18" s="92" t="s">
        <v>31</v>
      </c>
      <c r="G18" s="7"/>
    </row>
    <row r="19" spans="1:7" ht="15" customHeight="1" x14ac:dyDescent="0.25">
      <c r="A19" s="7"/>
      <c r="B19" s="105" t="s">
        <v>35</v>
      </c>
      <c r="C19" s="29">
        <f>-C18*'8. Nøgletal'!C14</f>
        <v>-961.84300000000007</v>
      </c>
      <c r="D19" s="42" t="s">
        <v>31</v>
      </c>
      <c r="E19" s="29">
        <f>-E18*'8. Nøgletal'!C14</f>
        <v>-756.0920000000001</v>
      </c>
      <c r="F19" s="42" t="s">
        <v>31</v>
      </c>
      <c r="G19" s="7"/>
    </row>
    <row r="20" spans="1:7" ht="15" customHeight="1" x14ac:dyDescent="0.25">
      <c r="A20" s="7"/>
      <c r="B20" s="105" t="s">
        <v>36</v>
      </c>
      <c r="C20" s="29">
        <f>SUM(C18:C19)*'8. Nøgletal'!C9</f>
        <v>3687.4175090999997</v>
      </c>
      <c r="D20" s="42" t="s">
        <v>31</v>
      </c>
      <c r="E20" s="29">
        <f>SUM(E18:E19)*'8. Nøgletal'!C9</f>
        <v>2898.6299004000002</v>
      </c>
      <c r="F20" s="42" t="s">
        <v>31</v>
      </c>
      <c r="G20" s="7"/>
    </row>
    <row r="21" spans="1:7" ht="26.25" customHeight="1" x14ac:dyDescent="0.25">
      <c r="A21" s="7"/>
      <c r="B21" s="98" t="s">
        <v>92</v>
      </c>
      <c r="C21" s="91">
        <f>SUM(C18:C20)</f>
        <v>59304.574509099999</v>
      </c>
      <c r="D21" s="92" t="s">
        <v>31</v>
      </c>
      <c r="E21" s="91">
        <f>SUM(E18:E20)</f>
        <v>46618.537900400006</v>
      </c>
      <c r="F21" s="92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eEIPBcsq3KuWHs7Mc47pORIKfnLBKeHoJV/3nJq0hsomp0NiUlkxaHo5JL+ef1QkdXSLGqIhVSUBcY0zG0au6Q==" saltValue="Ii2CmISzQH3x7Y7Z+Hgm9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132</v>
      </c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93</v>
      </c>
      <c r="C13" s="91">
        <f>SUM(C10:C12)</f>
        <v>0</v>
      </c>
      <c r="D13" s="92" t="s">
        <v>31</v>
      </c>
      <c r="E13" s="91">
        <f>SUM(E10:E12)</f>
        <v>0</v>
      </c>
      <c r="F13" s="92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6"/>
      <c r="C15" s="106"/>
      <c r="D15" s="106"/>
      <c r="E15" s="106"/>
      <c r="F15" s="106"/>
      <c r="G15" s="7"/>
    </row>
  </sheetData>
  <sheetProtection algorithmName="SHA-512" hashValue="q+CuO7ZFjqhn+G89WLBHsz4pZPvXAC+TGhwGoyra5kg4XIzogC+fCptYU1rH3V+8uq7cTKtu916gtUc4dJfGbw==" saltValue="2+LKhx3MZBQf1xZcWaJRH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2026-08-24T10:50:22Z</dcterms:modified>
</cp:coreProperties>
</file>