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Padborg Vandværk Amba (V14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12" i="37" l="1"/>
  <c r="C12" i="37"/>
  <c r="E11" i="37"/>
  <c r="C16" i="19"/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3" i="37" s="1"/>
  <c r="G11" i="11"/>
  <c r="E11" i="21" l="1"/>
  <c r="C11" i="21"/>
  <c r="E11" i="29"/>
  <c r="C11" i="29"/>
  <c r="C17" i="19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3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<sst xmlns="http://schemas.openxmlformats.org/spreadsheetml/2006/main" count="431" uniqueCount="167">
  <si>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</si>
  <si>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</si>
  <si>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</si>
  <si>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</si>
  <si>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</si>
  <si>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</si>
  <si>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</si>
  <si>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</si>
  <si>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</si>
  <si>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</si>
  <si>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</si>
  <si>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</si>
  <si>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</si>
  <si>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</si>
  <si>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</si>
  <si>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</si>
  <si>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</si>
  <si>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</si>
  <si>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</si>
  <si>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</si>
  <si>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</si>
  <si>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</si>
  <si>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</si>
  <si>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</si>
  <si>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</si>
  <si>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</si>
  <si>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</si>
  <si>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</si>
  <si>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</si>
  <si>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</si>
  <si>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</si>
  <si>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</si>
  <si>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</si>
  <si>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</si>
  <si>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</si>
  <si>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</si>
  <si>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</si>
  <si>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</si>
  <si>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</si>
  <si>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</si>
  <si>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</si>
  <si>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</si>
  <si>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</si>
  <si>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</si>
  <si>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</si>
  <si>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</si>
  <si>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</si>
  <si>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</si>
  <si>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</si>
  <si>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</si>
  <si>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</si>
  <si>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</si>
  <si>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</si>
  <si>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</si>
  <si>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</si>
  <si>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</si>
  <si>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</si>
  <si>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</si>
  <si>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</si>
  <si>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</si>
  <si>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</si>
  <si>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</si>
  <si>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</si>
  <si>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</si>
  <si>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</si>
  <si>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</si>
  <si>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</si>
  <si>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</si>
  <si>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</si>
  <si>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</si>
  <si>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</si>
  <si>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</si>
  <si>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</si>
  <si>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</si>
  <si>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</si>
  <si>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</si>
  <si>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</si>
  <si>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</si>
  <si>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</si>
  <si>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</si>
  <si>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</si>
  <si>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</si>
  <si>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</si>
  <si>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</si>
  <si>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</si>
  <si>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</si>
  <si>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</si>
  <si>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</si>
  <si>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</si>
  <si>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</si>
  <si>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</si>
  <si>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</si>
  <si>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</si>
  <si>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</si>
  <si>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</si>
  <si>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</si>
  <si>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</si>
  <si>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</si>
  <si>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</si>
  <si>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</si>
  <si>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</si>
  <si>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</si>
  <si>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</si>
  <si>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</si>
  <si>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</si>
  <si>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</si>
  <si>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</si>
  <si>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</si>
  <si>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</si>
  <si>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</si>
  <si>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</si>
  <si>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</si>
  <si>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</si>
  <si>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</si>
  <si>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</si>
  <si>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</si>
  <si>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</si>
  <si>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</si>
  <si>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</si>
  <si>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</si>
  <si>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</si>
  <si>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</si>
  <si>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</si>
  <si>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</si>
  <si>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</si>
  <si>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</si>
  <si>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</si>
  <si>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</si>
  <si>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</si>
  <si>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</si>
  <si>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</si>
  <si>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</si>
  <si>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</si>
  <si>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</si>
  <si>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</si>
  <si>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</si>
  <si>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</si>
  <si>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</si>
  <si>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</si>
  <si>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</si>
  <si>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</si>
  <si>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</si>
  <si>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</si>
  <si>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</si>
  <si>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</si>
  <si>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</si>
  <si>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</si>
  <si>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</si>
  <si>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</si>
  <si>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</si>
  <si>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</si>
  <si>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</si>
  <si>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</si>
  <si>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</si>
  <si>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</si>
  <si>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</si>
  <si>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</si>
  <si>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</si>
  <si>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</si>
  <si>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</si>
  <si>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</si>
  <si>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Ingen engangstillæg</t>
  </si>
  <si>
    <t>Korrektion af grundlag</t>
  </si>
  <si>
    <t>Fusion med Bov Vandværk</t>
  </si>
  <si>
    <t>Afgift til ledningsført vand (Bov Vandværk)</t>
  </si>
  <si>
    <t>Andre skatter (Bov Vandværk)</t>
  </si>
  <si>
    <t>Køb af ydelser og produkter fra et vandselskab omfattet af reguleringen (Bov Vandværk)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</si>
</sst>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4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4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4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4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4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4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4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45">
      <c r="A20" s="1"/>
      <c r="B20" s="1"/>
      <c r="C20" s="6" t="s">
        <v>123</v>
      </c>
      <c r="D20" s="52" t="s">
        <v>147</v>
      </c>
      <c r="E20" s="53"/>
      <c r="F20" s="53"/>
      <c r="G20" s="54"/>
      <c r="H20" s="1"/>
      <c r="I20" s="1"/>
    </row>
    <row r="21" spans="1:9" x14ac:dyDescent="0.4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4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4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4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4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4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4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qESOAPU3Fbip8JVz8CfG0YIdlVhfWftfX7NqfAazh6GGOIERrbgVVqegHbiwIYx9/B6pX2in48pSKGTsYMYUMQ==" saltValue="H55V89EFQDWavFSUDTbxsA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4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4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4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4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m6LYsykU6/zk8NPUSrWvd76PGf0Z06qbP28nXj7dK1YgVUIZyrHoDgxyeyCMBw2fhQFlFAV0VB/WtOe34ponGg==" saltValue="Vtdv2SEgr3lzvuFIfEPCf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4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4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45">
      <c r="A11" s="1"/>
      <c r="B11" s="22" t="s">
        <v>163</v>
      </c>
      <c r="C11" s="21">
        <v>304812.45560207497</v>
      </c>
      <c r="D11" s="12" t="s">
        <v>3</v>
      </c>
      <c r="E11" s="8">
        <f>SUM('Fane 7. Anlægsprojekter'!E12,'Fane 7. Anlægsprojekter'!G12)</f>
        <v>0</v>
      </c>
      <c r="F11" s="12" t="s">
        <v>3</v>
      </c>
      <c r="G11" s="1"/>
    </row>
    <row r="12" spans="1:7" x14ac:dyDescent="0.45">
      <c r="A12" s="1"/>
      <c r="B12" s="46" t="s">
        <v>54</v>
      </c>
      <c r="C12" s="10">
        <f>SUM(C10:C11)</f>
        <v>304812.45560207497</v>
      </c>
      <c r="D12" s="11" t="s">
        <v>3</v>
      </c>
      <c r="E12" s="10">
        <f>SUM(E10:E11)</f>
        <v>0</v>
      </c>
      <c r="F12" s="11" t="s">
        <v>3</v>
      </c>
      <c r="G12" s="1"/>
    </row>
    <row r="13" spans="1:7" x14ac:dyDescent="0.45">
      <c r="A13" s="1"/>
      <c r="B13" s="46" t="s">
        <v>63</v>
      </c>
      <c r="C13" s="10">
        <f>C12*(1+'Fane 12. Nøgletal'!C12)</f>
        <v>310817.26097743586</v>
      </c>
      <c r="D13" s="11" t="s">
        <v>3</v>
      </c>
      <c r="E13" s="10">
        <f>E12*(1+'Fane 12. Nøgletal'!C12)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GOtQwu/XP28umy0XTKK0w1G5v9m7aqfof0NFHgn7Bfx1QeS8dZUzPV+u4Z9r8KIeVNbuxupRVPuNw7H6pL3hqw==" saltValue="/sI7gy7atdxaLRUy1zqSn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77" t="s">
        <v>102</v>
      </c>
      <c r="C8" s="78"/>
      <c r="D8" s="78"/>
      <c r="E8" s="78"/>
      <c r="F8" s="79"/>
      <c r="G8" s="1"/>
    </row>
    <row r="9" spans="1:7" x14ac:dyDescent="0.4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45">
      <c r="A10" s="1"/>
      <c r="B10" s="22" t="s">
        <v>161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4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77" t="s">
        <v>103</v>
      </c>
      <c r="C15" s="78"/>
      <c r="D15" s="78"/>
      <c r="E15" s="78"/>
      <c r="F15" s="79"/>
      <c r="G15" s="1"/>
    </row>
    <row r="16" spans="1:7" x14ac:dyDescent="0.4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45">
      <c r="A17" s="1"/>
      <c r="B17" s="22" t="s">
        <v>161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4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77" t="s">
        <v>104</v>
      </c>
      <c r="C22" s="78"/>
      <c r="D22" s="78"/>
      <c r="E22" s="78"/>
      <c r="F22" s="79"/>
      <c r="G22" s="1"/>
    </row>
    <row r="23" spans="1:7" x14ac:dyDescent="0.4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45">
      <c r="A24" s="1"/>
      <c r="B24" s="22" t="s">
        <v>161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4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77" t="s">
        <v>105</v>
      </c>
      <c r="C29" s="78"/>
      <c r="D29" s="78"/>
      <c r="E29" s="78"/>
      <c r="F29" s="79"/>
      <c r="G29" s="1"/>
    </row>
    <row r="30" spans="1:7" x14ac:dyDescent="0.4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45">
      <c r="A31" s="1"/>
      <c r="B31" s="22" t="s">
        <v>161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4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</sheetData>
  <sheetProtection algorithmName="SHA-512" hashValue="WUQANDiNO6Tq+Rey+p1auWgrGGuya6DWccc+BGty2dMhLI8ngOCdWz6fV0/3P6YZZln5RrEu9LxZNGRCvqXTGw==" saltValue="RKN/CRUHHOtGxJmQAZBKV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45">
      <c r="A4" s="1"/>
      <c r="B4" s="71"/>
      <c r="C4" s="71"/>
      <c r="D4" s="71"/>
      <c r="E4" s="71"/>
      <c r="F4" s="7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4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4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AVE5UZ41GTSSwTErVxnBahQ/0NzdYYR1XK46No920p8EYMrRI7WNcZw3rDr7kcvyXAsySuCZquz77MVi++8D9w==" saltValue="fb/uIfnxPX9s71MLsJyKz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45">
      <c r="A4" s="1"/>
      <c r="B4" s="71"/>
      <c r="C4" s="71"/>
      <c r="D4" s="71"/>
      <c r="E4" s="71"/>
      <c r="F4" s="7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4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4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77" t="s">
        <v>92</v>
      </c>
      <c r="C14" s="78"/>
      <c r="D14" s="78"/>
      <c r="E14" s="78"/>
      <c r="F14" s="79"/>
      <c r="G14" s="1"/>
    </row>
    <row r="15" spans="1:7" x14ac:dyDescent="0.4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4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77" t="s">
        <v>90</v>
      </c>
      <c r="C20" s="78"/>
      <c r="D20" s="78"/>
      <c r="E20" s="78"/>
      <c r="F20" s="79"/>
      <c r="G20" s="1"/>
    </row>
    <row r="21" spans="1:7" x14ac:dyDescent="0.4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4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77" t="s">
        <v>93</v>
      </c>
      <c r="C26" s="78"/>
      <c r="D26" s="78"/>
      <c r="E26" s="78"/>
      <c r="F26" s="79"/>
      <c r="G26" s="1"/>
    </row>
    <row r="27" spans="1:7" x14ac:dyDescent="0.4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4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LwgVuRT8FDnwVsk8RYSYy2CB3Q83spiEaiuki+6V4VxbzTiKBPBsCkRshycyUFrs2ZVd4PUpZZLzn6d5E1vtzg==" saltValue="08IJ63LQ6UgtgsUNEy/0y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15.1328125" style="2" customWidth="1"/>
    <col min="5" max="5" width="9.1328125" style="2"/>
    <col min="6" max="6" width="14.1328125" style="2" customWidth="1"/>
    <col min="7" max="7" width="10.265625" style="2" customWidth="1"/>
    <col min="8" max="8" width="3.1328125" style="2" customWidth="1"/>
    <col min="9" max="9" width="9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4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45">
      <c r="A9" s="1"/>
      <c r="B9" s="91" t="s">
        <v>11</v>
      </c>
      <c r="C9" s="92"/>
      <c r="D9" s="92"/>
      <c r="E9" s="92"/>
      <c r="F9" s="93"/>
      <c r="G9" s="8">
        <v>2780784</v>
      </c>
      <c r="H9" s="12" t="s">
        <v>3</v>
      </c>
      <c r="I9" s="1"/>
    </row>
    <row r="10" spans="1:9" x14ac:dyDescent="0.45">
      <c r="A10" s="1"/>
      <c r="B10" s="91" t="s">
        <v>77</v>
      </c>
      <c r="C10" s="92"/>
      <c r="D10" s="92"/>
      <c r="E10" s="92"/>
      <c r="F10" s="93"/>
      <c r="G10" s="8">
        <v>18346</v>
      </c>
      <c r="H10" s="12" t="s">
        <v>3</v>
      </c>
      <c r="I10" s="1"/>
    </row>
    <row r="11" spans="1:9" x14ac:dyDescent="0.45">
      <c r="A11" s="1"/>
      <c r="B11" s="91" t="s">
        <v>69</v>
      </c>
      <c r="C11" s="92"/>
      <c r="D11" s="92"/>
      <c r="E11" s="92"/>
      <c r="F11" s="93"/>
      <c r="G11" s="8">
        <v>-2532688.1349206353</v>
      </c>
      <c r="H11" s="12" t="s">
        <v>3</v>
      </c>
      <c r="I11" s="1"/>
    </row>
    <row r="12" spans="1:9" x14ac:dyDescent="0.45">
      <c r="A12" s="1"/>
      <c r="B12" s="94" t="s">
        <v>14</v>
      </c>
      <c r="C12" s="95"/>
      <c r="D12" s="95"/>
      <c r="E12" s="95"/>
      <c r="F12" s="96"/>
      <c r="G12" s="17">
        <f>(G9+G10)+G11</f>
        <v>266441.86507936474</v>
      </c>
      <c r="H12" s="16" t="s">
        <v>3</v>
      </c>
      <c r="I12" s="1"/>
    </row>
    <row r="13" spans="1:9" x14ac:dyDescent="0.4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45">
      <c r="A14" s="1"/>
      <c r="B14" s="77" t="s">
        <v>78</v>
      </c>
      <c r="C14" s="78"/>
      <c r="D14" s="78"/>
      <c r="E14" s="78"/>
      <c r="F14" s="79"/>
      <c r="G14" s="10">
        <f>IF(G13 = 0,0,-G12/G13)</f>
        <v>-266441.86507936474</v>
      </c>
      <c r="H14" s="11" t="s">
        <v>3</v>
      </c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0/owHYQlvSitHfwlhgBpvyinBbIkRDNiT60YTvx0Fvyxq5i93l0JrpU4T3/82pvbrqbikcan1J/+osD19NxDpg==" saltValue="cFIA7eF7e1pZWcs5BUizp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1" t="s">
        <v>137</v>
      </c>
      <c r="C3" s="71"/>
      <c r="D3" s="1"/>
    </row>
    <row r="4" spans="1:4" ht="25.5" customHeight="1" x14ac:dyDescent="0.45">
      <c r="A4" s="1"/>
      <c r="B4" s="71"/>
      <c r="C4" s="71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6" t="s">
        <v>20</v>
      </c>
      <c r="C8" s="47"/>
      <c r="D8" s="1"/>
    </row>
    <row r="9" spans="1:4" x14ac:dyDescent="0.45">
      <c r="A9" s="1"/>
      <c r="B9" s="30" t="s">
        <v>132</v>
      </c>
      <c r="C9" s="23">
        <v>1.2699999999999999E-2</v>
      </c>
      <c r="D9" s="1"/>
    </row>
    <row r="10" spans="1:4" x14ac:dyDescent="0.45">
      <c r="A10" s="1"/>
      <c r="B10" s="30" t="s">
        <v>30</v>
      </c>
      <c r="C10" s="23">
        <v>1.7500000000000002E-2</v>
      </c>
      <c r="D10" s="1"/>
    </row>
    <row r="11" spans="1:4" x14ac:dyDescent="0.45">
      <c r="A11" s="1"/>
      <c r="B11" s="30" t="s">
        <v>31</v>
      </c>
      <c r="C11" s="23">
        <v>1.6899999999999998E-2</v>
      </c>
      <c r="D11" s="1"/>
    </row>
    <row r="12" spans="1:4" x14ac:dyDescent="0.45">
      <c r="A12" s="1"/>
      <c r="B12" s="32" t="s">
        <v>62</v>
      </c>
      <c r="C12" s="33">
        <v>1.9699999999999999E-2</v>
      </c>
      <c r="D12" s="1"/>
    </row>
    <row r="13" spans="1:4" x14ac:dyDescent="0.45">
      <c r="A13" s="1"/>
      <c r="B13" s="46"/>
      <c r="C13" s="47"/>
      <c r="D13" s="1"/>
    </row>
    <row r="14" spans="1:4" x14ac:dyDescent="0.45">
      <c r="A14" s="1"/>
      <c r="B14" s="1"/>
      <c r="C14" s="1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46" t="s">
        <v>115</v>
      </c>
      <c r="C16" s="47"/>
      <c r="D16" s="1"/>
    </row>
    <row r="17" spans="1:4" x14ac:dyDescent="0.45">
      <c r="A17" s="1"/>
      <c r="B17" s="30" t="s">
        <v>133</v>
      </c>
      <c r="C17" s="23">
        <v>1.7000000000000001E-2</v>
      </c>
      <c r="D17" s="1"/>
    </row>
    <row r="18" spans="1:4" x14ac:dyDescent="0.45">
      <c r="A18" s="1"/>
      <c r="B18" s="97"/>
      <c r="C18" s="98"/>
      <c r="D18" s="1"/>
    </row>
    <row r="19" spans="1:4" x14ac:dyDescent="0.45">
      <c r="A19" s="1"/>
      <c r="B19" s="1"/>
      <c r="C19" s="1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</sheetData>
  <sheetProtection algorithmName="SHA-512" hashValue="Q2dpOVgBkUwIil+1BeGKKlotqGQH4XU/BLVx8AVB4ILOwC+FUJk0QHd89AqjU9weE3Tsmrp3y7YjvsNzMuOPXg==" saltValue="ivpooXh71B8ly/OLioUx+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19</v>
      </c>
      <c r="C8" s="42"/>
      <c r="D8" s="42"/>
      <c r="E8" s="42"/>
      <c r="F8" s="42"/>
      <c r="G8" s="1"/>
    </row>
    <row r="9" spans="1:7" x14ac:dyDescent="0.45">
      <c r="A9" s="1"/>
      <c r="B9" s="38" t="s">
        <v>35</v>
      </c>
      <c r="C9" s="38"/>
      <c r="D9" s="38"/>
      <c r="E9" s="7">
        <f>'Fane 3. Omkostninger i ØR2019'!E15</f>
        <v>5774327.8692238443</v>
      </c>
      <c r="F9" s="38" t="s">
        <v>3</v>
      </c>
      <c r="G9" s="1"/>
    </row>
    <row r="10" spans="1:7" x14ac:dyDescent="0.4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4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45">
      <c r="A12" s="1"/>
      <c r="B12" s="31" t="s">
        <v>141</v>
      </c>
      <c r="C12" s="38"/>
      <c r="D12" s="38"/>
      <c r="E12" s="7">
        <f>'Fane 8.1. Varige tillæg'!C13+'Fane 8.1. Varige tillæg'!E13</f>
        <v>310817.26097743586</v>
      </c>
      <c r="F12" s="38" t="s">
        <v>3</v>
      </c>
      <c r="G12" s="1"/>
    </row>
    <row r="13" spans="1:7" ht="17.100000000000001" customHeight="1" x14ac:dyDescent="0.4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4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4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79457.063980398307</v>
      </c>
      <c r="F15" s="38" t="s">
        <v>3</v>
      </c>
      <c r="G15" s="1"/>
    </row>
    <row r="16" spans="1:7" ht="17.100000000000001" customHeight="1" x14ac:dyDescent="0.45">
      <c r="A16" s="1"/>
      <c r="B16" s="31" t="s">
        <v>115</v>
      </c>
      <c r="C16" s="38"/>
      <c r="D16" s="38"/>
      <c r="E16" s="8">
        <f>-SUM(E9,E12:E15)*'Fane 12. Nøgletal'!C17</f>
        <v>-104798.23730108855</v>
      </c>
      <c r="F16" s="38" t="s">
        <v>3</v>
      </c>
      <c r="G16" s="1"/>
    </row>
    <row r="17" spans="1:7" ht="17.100000000000001" customHeight="1" x14ac:dyDescent="0.45">
      <c r="A17" s="1"/>
      <c r="B17" s="43" t="s">
        <v>28</v>
      </c>
      <c r="C17" s="41"/>
      <c r="D17" s="41"/>
      <c r="E17" s="9">
        <f>SUM(E9,E12:E16)</f>
        <v>6059803.9568805899</v>
      </c>
      <c r="F17" s="36" t="s">
        <v>3</v>
      </c>
      <c r="G17" s="1"/>
    </row>
    <row r="18" spans="1:7" ht="15" customHeight="1" x14ac:dyDescent="0.4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45">
      <c r="A19" s="1"/>
      <c r="B19" s="36" t="s">
        <v>16</v>
      </c>
      <c r="C19" s="36"/>
      <c r="D19" s="36"/>
      <c r="E19" s="9">
        <f>'Fane 4. Ikke-påvirkelige omk.'!C17</f>
        <v>3226268.1900590267</v>
      </c>
      <c r="F19" s="36" t="s">
        <v>3</v>
      </c>
      <c r="G19" s="1"/>
    </row>
    <row r="20" spans="1:7" ht="15" customHeight="1" x14ac:dyDescent="0.4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4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4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4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4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45">
      <c r="A25" s="1"/>
      <c r="B25" s="36" t="s">
        <v>18</v>
      </c>
      <c r="C25" s="36"/>
      <c r="D25" s="36"/>
      <c r="E25" s="9">
        <f>'Fane 11. Hist. over-underdæk.'!G14</f>
        <v>-266441.86507936474</v>
      </c>
      <c r="F25" s="36" t="s">
        <v>3</v>
      </c>
      <c r="G25" s="1"/>
    </row>
    <row r="26" spans="1:7" ht="15" customHeight="1" x14ac:dyDescent="0.45">
      <c r="A26" s="1"/>
      <c r="B26" s="42" t="s">
        <v>147</v>
      </c>
      <c r="C26" s="42"/>
      <c r="D26" s="42"/>
      <c r="E26" s="42"/>
      <c r="F26" s="42"/>
      <c r="G26" s="1"/>
    </row>
    <row r="27" spans="1:7" x14ac:dyDescent="0.4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45">
      <c r="A28" s="1"/>
      <c r="B28" s="42" t="s">
        <v>36</v>
      </c>
      <c r="C28" s="42"/>
      <c r="D28" s="42"/>
      <c r="E28" s="10">
        <f>SUM(E17,E19,E23,E25,E27)</f>
        <v>9019630.281860251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</sheetData>
  <sheetProtection algorithmName="SHA-512" hashValue="2fAKFYNsKx7PT4UnKHSDjMxfgNGftncwON/L4/pCKBeLo9wkDHEORCG33Z0OdS9D95PeUTImByYI8pjuuYisGg==" saltValue="gVsYUtCDw2FIw0q+RmoCN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67" t="s">
        <v>29</v>
      </c>
      <c r="C5" s="67"/>
      <c r="D5" s="67"/>
      <c r="E5" s="67"/>
      <c r="F5" s="67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45">
      <c r="A9" s="1"/>
      <c r="B9" s="38" t="s">
        <v>37</v>
      </c>
      <c r="C9" s="38"/>
      <c r="D9" s="38"/>
      <c r="E9" s="7">
        <f>'Fane 2.1. Økonomisk ramme 2020'!E17</f>
        <v>6059803.9568805899</v>
      </c>
      <c r="F9" s="38" t="s">
        <v>3</v>
      </c>
      <c r="G9" s="1"/>
    </row>
    <row r="10" spans="1:7" ht="15" customHeight="1" x14ac:dyDescent="0.45">
      <c r="A10" s="1"/>
      <c r="B10" s="38" t="s">
        <v>162</v>
      </c>
      <c r="C10" s="38"/>
      <c r="D10" s="38"/>
      <c r="E10" s="7">
        <v>112659.80423871144</v>
      </c>
      <c r="F10" s="38" t="s">
        <v>3</v>
      </c>
      <c r="G10" s="1"/>
    </row>
    <row r="11" spans="1:7" ht="15" customHeight="1" x14ac:dyDescent="0.4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45">
      <c r="A12" s="1"/>
      <c r="B12" s="39" t="s">
        <v>26</v>
      </c>
      <c r="C12" s="38"/>
      <c r="D12" s="38"/>
      <c r="E12" s="8">
        <f>SUM(E9:E11)*'Fane 12. Nøgletal'!C12</f>
        <v>121597.53609405023</v>
      </c>
      <c r="F12" s="38" t="s">
        <v>3</v>
      </c>
      <c r="G12" s="1"/>
    </row>
    <row r="13" spans="1:7" ht="15" customHeight="1" x14ac:dyDescent="0.45">
      <c r="A13" s="1"/>
      <c r="B13" s="39" t="s">
        <v>115</v>
      </c>
      <c r="C13" s="38"/>
      <c r="D13" s="38"/>
      <c r="E13" s="8">
        <f>-SUM(E9:E12)*'Fane 12. Nøgletal'!C17</f>
        <v>-106999.04205262697</v>
      </c>
      <c r="F13" s="38" t="s">
        <v>3</v>
      </c>
      <c r="G13" s="1"/>
    </row>
    <row r="14" spans="1:7" ht="15" customHeight="1" x14ac:dyDescent="0.45">
      <c r="A14" s="1"/>
      <c r="B14" s="41" t="s">
        <v>28</v>
      </c>
      <c r="C14" s="41"/>
      <c r="D14" s="41"/>
      <c r="E14" s="9">
        <f>SUM(E9:E13)</f>
        <v>6187062.2551607247</v>
      </c>
      <c r="F14" s="36" t="s">
        <v>3</v>
      </c>
      <c r="G14" s="1"/>
    </row>
    <row r="15" spans="1:7" x14ac:dyDescent="0.4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45">
      <c r="A16" s="1"/>
      <c r="B16" s="36" t="s">
        <v>16</v>
      </c>
      <c r="C16" s="36"/>
      <c r="D16" s="36"/>
      <c r="E16" s="9">
        <f>'Fane 4. Ikke-påvirkelige omk.'!C17*(1+'Fane 12. Nøgletal'!C12)</f>
        <v>3289825.6734031895</v>
      </c>
      <c r="F16" s="36" t="s">
        <v>3</v>
      </c>
      <c r="G16" s="1"/>
    </row>
    <row r="17" spans="1:7" ht="15" customHeight="1" x14ac:dyDescent="0.4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4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4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4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4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45">
      <c r="A22" s="1"/>
      <c r="B22" s="36" t="s">
        <v>131</v>
      </c>
      <c r="C22" s="36"/>
      <c r="D22" s="36"/>
      <c r="E22" s="9">
        <f>'Fane 5. Kontrol af ØR2018'!E35</f>
        <v>197604.0588000002</v>
      </c>
      <c r="F22" s="36" t="s">
        <v>3</v>
      </c>
      <c r="G22" s="1"/>
    </row>
    <row r="23" spans="1:7" x14ac:dyDescent="0.45">
      <c r="A23" s="1"/>
      <c r="B23" s="42" t="s">
        <v>39</v>
      </c>
      <c r="C23" s="42"/>
      <c r="D23" s="42"/>
      <c r="E23" s="10">
        <f>SUM(E14,E16,E20,E22)</f>
        <v>9674491.9873639159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nKI1irRH+E0Z9DGIkFwOZAKqkzbUk8qDz/4c2zL+rMinyDOywjl8ZO8ONpFkK7IHu7FBp4R2NFiYT+JsvioIcg==" saltValue="QRiaXq9aQ9TNLsKp/eGNS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67" t="s">
        <v>29</v>
      </c>
      <c r="C5" s="67"/>
      <c r="D5" s="67"/>
      <c r="E5" s="67"/>
      <c r="F5" s="67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45">
      <c r="A8" s="1"/>
      <c r="B8" s="38" t="s">
        <v>37</v>
      </c>
      <c r="C8" s="38"/>
      <c r="D8" s="38"/>
      <c r="E8" s="7">
        <f>'Fane 2.2. Økonomisk ramme 2021'!E14</f>
        <v>6187062.2551607247</v>
      </c>
      <c r="F8" s="38" t="s">
        <v>3</v>
      </c>
      <c r="G8" s="1"/>
    </row>
    <row r="9" spans="1:7" ht="15" customHeight="1" x14ac:dyDescent="0.4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45">
      <c r="A10" s="1"/>
      <c r="B10" s="39" t="s">
        <v>26</v>
      </c>
      <c r="C10" s="38"/>
      <c r="D10" s="38"/>
      <c r="E10" s="8">
        <f>SUM(E8:E9)*'Fane 12. Nøgletal'!C12</f>
        <v>121885.12642666628</v>
      </c>
      <c r="F10" s="38" t="s">
        <v>3</v>
      </c>
      <c r="G10" s="1"/>
    </row>
    <row r="11" spans="1:7" ht="15" customHeight="1" x14ac:dyDescent="0.45">
      <c r="A11" s="1"/>
      <c r="B11" s="39" t="s">
        <v>115</v>
      </c>
      <c r="C11" s="38"/>
      <c r="D11" s="38"/>
      <c r="E11" s="8">
        <f>-SUM(E8:E10)*'Fane 12. Nøgletal'!C17</f>
        <v>-107252.10548698565</v>
      </c>
      <c r="F11" s="38" t="s">
        <v>3</v>
      </c>
      <c r="G11" s="1"/>
    </row>
    <row r="12" spans="1:7" x14ac:dyDescent="0.45">
      <c r="A12" s="1"/>
      <c r="B12" s="41" t="s">
        <v>28</v>
      </c>
      <c r="C12" s="41"/>
      <c r="D12" s="41"/>
      <c r="E12" s="9">
        <f>SUM(E8:E11)</f>
        <v>6201695.2761004055</v>
      </c>
      <c r="F12" s="36" t="s">
        <v>3</v>
      </c>
      <c r="G12" s="1"/>
    </row>
    <row r="13" spans="1:7" x14ac:dyDescent="0.4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45">
      <c r="A14" s="1"/>
      <c r="B14" s="36" t="s">
        <v>16</v>
      </c>
      <c r="C14" s="36"/>
      <c r="D14" s="36"/>
      <c r="E14" s="9">
        <f>'Fane 4. Ikke-påvirkelige omk.'!C17*(1+'Fane 12. Nøgletal'!C12)^2</f>
        <v>3354635.2391692325</v>
      </c>
      <c r="F14" s="36" t="s">
        <v>3</v>
      </c>
      <c r="G14" s="1"/>
    </row>
    <row r="15" spans="1:7" ht="15" customHeight="1" x14ac:dyDescent="0.4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4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4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4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4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45">
      <c r="A20" s="1"/>
      <c r="B20" s="36" t="s">
        <v>131</v>
      </c>
      <c r="C20" s="36"/>
      <c r="D20" s="36"/>
      <c r="E20" s="9">
        <f>'Fane 2.2. Økonomisk ramme 2021'!E22</f>
        <v>197604.0588000002</v>
      </c>
      <c r="F20" s="36" t="s">
        <v>3</v>
      </c>
      <c r="G20" s="1"/>
    </row>
    <row r="21" spans="1:7" x14ac:dyDescent="0.45">
      <c r="A21" s="1"/>
      <c r="B21" s="42" t="s">
        <v>40</v>
      </c>
      <c r="C21" s="42"/>
      <c r="D21" s="42"/>
      <c r="E21" s="10">
        <f>SUM(E12,E14,E18,E20)</f>
        <v>9753934.5740696378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KvktbKPuHFUpferhPUZ/s/kr2Ukz9Imf6tl1Roaq7GIJO8NAQ8fWmFt5HmyZWtZBiEXFUf4fP6gJU9sizca0A==" saltValue="2EgHbUAVU4UdahTsKsihb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67" t="s">
        <v>29</v>
      </c>
      <c r="C5" s="67"/>
      <c r="D5" s="67"/>
      <c r="E5" s="67"/>
      <c r="F5" s="67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45">
      <c r="A8" s="1"/>
      <c r="B8" s="38" t="s">
        <v>38</v>
      </c>
      <c r="C8" s="38"/>
      <c r="D8" s="38"/>
      <c r="E8" s="7">
        <f>'Fane 2.3. Økonomisk ramme 2022'!E12</f>
        <v>6201695.2761004055</v>
      </c>
      <c r="F8" s="38" t="s">
        <v>3</v>
      </c>
      <c r="G8" s="1"/>
    </row>
    <row r="9" spans="1:7" ht="15" customHeight="1" x14ac:dyDescent="0.4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45">
      <c r="A10" s="1"/>
      <c r="B10" s="39" t="s">
        <v>26</v>
      </c>
      <c r="C10" s="38"/>
      <c r="D10" s="38"/>
      <c r="E10" s="8">
        <f>E8*'Fane 12. Nøgletal'!C12</f>
        <v>122173.39693917798</v>
      </c>
      <c r="F10" s="38" t="s">
        <v>3</v>
      </c>
      <c r="G10" s="1"/>
    </row>
    <row r="11" spans="1:7" ht="15" customHeight="1" x14ac:dyDescent="0.45">
      <c r="A11" s="1"/>
      <c r="B11" s="39" t="s">
        <v>115</v>
      </c>
      <c r="C11" s="38"/>
      <c r="D11" s="38"/>
      <c r="E11" s="8">
        <f>-SUM(E8:E10)*'Fane 12. Nøgletal'!C17</f>
        <v>-107505.76744167293</v>
      </c>
      <c r="F11" s="38" t="s">
        <v>3</v>
      </c>
      <c r="G11" s="1"/>
    </row>
    <row r="12" spans="1:7" x14ac:dyDescent="0.45">
      <c r="A12" s="1"/>
      <c r="B12" s="41" t="s">
        <v>28</v>
      </c>
      <c r="C12" s="41"/>
      <c r="D12" s="41"/>
      <c r="E12" s="9">
        <f>SUM(E8:E11)</f>
        <v>6216362.9055979103</v>
      </c>
      <c r="F12" s="36" t="s">
        <v>3</v>
      </c>
      <c r="G12" s="1"/>
    </row>
    <row r="13" spans="1:7" x14ac:dyDescent="0.4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45">
      <c r="A14" s="1"/>
      <c r="B14" s="36" t="s">
        <v>16</v>
      </c>
      <c r="C14" s="36"/>
      <c r="D14" s="36"/>
      <c r="E14" s="9">
        <f>'Fane 4. Ikke-påvirkelige omk.'!C17*(1+'Fane 12. Nøgletal'!C12)^3</f>
        <v>3420721.5533808665</v>
      </c>
      <c r="F14" s="36" t="s">
        <v>3</v>
      </c>
      <c r="G14" s="1"/>
    </row>
    <row r="15" spans="1:7" ht="15" customHeight="1" x14ac:dyDescent="0.4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4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4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4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4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45">
      <c r="A20" s="1"/>
      <c r="B20" s="36" t="s">
        <v>131</v>
      </c>
      <c r="C20" s="36"/>
      <c r="D20" s="36"/>
      <c r="E20" s="9">
        <f>'Fane 2.3. Økonomisk ramme 2022'!E20</f>
        <v>197604.0588000002</v>
      </c>
      <c r="F20" s="36" t="s">
        <v>3</v>
      </c>
      <c r="G20" s="1"/>
    </row>
    <row r="21" spans="1:7" x14ac:dyDescent="0.45">
      <c r="A21" s="1"/>
      <c r="B21" s="42" t="s">
        <v>89</v>
      </c>
      <c r="C21" s="42"/>
      <c r="D21" s="42"/>
      <c r="E21" s="10">
        <f>SUM(E12,E14,E18,E20)</f>
        <v>9834688.5177787766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0Ea12WLI5Ax+VkPQyiFzQSSJqFdN510EK+/HU0cNmXFowcahTz4pm696Ivbxd1pM3Kk9SDz3iR8HVKfiOkpokA==" saltValue="YfVvxdOHba9j2fYZLadVz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45">
      <c r="A4" s="1"/>
      <c r="B4" s="71"/>
      <c r="C4" s="71"/>
      <c r="D4" s="71"/>
      <c r="E4" s="71"/>
      <c r="F4" s="7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72</v>
      </c>
      <c r="C8" s="42"/>
      <c r="D8" s="42"/>
      <c r="E8" s="42"/>
      <c r="F8" s="42"/>
      <c r="G8" s="1"/>
    </row>
    <row r="9" spans="1:7" x14ac:dyDescent="0.45">
      <c r="A9" s="1"/>
      <c r="B9" s="72" t="s">
        <v>70</v>
      </c>
      <c r="C9" s="72"/>
      <c r="D9" s="72"/>
      <c r="E9" s="7">
        <v>5800522.4485492483</v>
      </c>
      <c r="F9" s="38" t="s">
        <v>3</v>
      </c>
      <c r="G9" s="1"/>
    </row>
    <row r="10" spans="1:7" x14ac:dyDescent="0.4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4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4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4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73666.635096575454</v>
      </c>
      <c r="F13" s="38" t="s">
        <v>3</v>
      </c>
      <c r="G13" s="1"/>
    </row>
    <row r="14" spans="1:7" x14ac:dyDescent="0.45">
      <c r="A14" s="1"/>
      <c r="B14" s="73" t="s">
        <v>115</v>
      </c>
      <c r="C14" s="73"/>
      <c r="D14" s="73"/>
      <c r="E14" s="8">
        <f>-SUM(E9:E9,E11:E13)*'Fane 12. Nøgletal'!C17</f>
        <v>-99861.214421979006</v>
      </c>
      <c r="F14" s="38" t="s">
        <v>3</v>
      </c>
      <c r="G14" s="1"/>
    </row>
    <row r="15" spans="1:7" x14ac:dyDescent="0.45">
      <c r="A15" s="1"/>
      <c r="B15" s="75" t="s">
        <v>28</v>
      </c>
      <c r="C15" s="75"/>
      <c r="D15" s="75"/>
      <c r="E15" s="9">
        <f>SUM(E9,E11:E14)</f>
        <v>5774327.8692238443</v>
      </c>
      <c r="F15" s="36" t="s">
        <v>3</v>
      </c>
      <c r="G15" s="1"/>
    </row>
    <row r="16" spans="1:7" x14ac:dyDescent="0.45">
      <c r="A16" s="1"/>
      <c r="B16" s="76" t="s">
        <v>16</v>
      </c>
      <c r="C16" s="76"/>
      <c r="D16" s="76"/>
      <c r="E16" s="42"/>
      <c r="F16" s="42"/>
      <c r="G16" s="1"/>
    </row>
    <row r="17" spans="1:7" x14ac:dyDescent="0.45">
      <c r="A17" s="1"/>
      <c r="B17" s="70" t="s">
        <v>16</v>
      </c>
      <c r="C17" s="70"/>
      <c r="D17" s="70"/>
      <c r="E17" s="9">
        <v>3292527.5481543895</v>
      </c>
      <c r="F17" s="36" t="s">
        <v>3</v>
      </c>
      <c r="G17" s="1"/>
    </row>
    <row r="18" spans="1:7" x14ac:dyDescent="0.4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45">
      <c r="A19" s="1"/>
      <c r="B19" s="69" t="s">
        <v>74</v>
      </c>
      <c r="C19" s="69"/>
      <c r="D19" s="69"/>
      <c r="E19" s="9">
        <v>17467.364893675029</v>
      </c>
      <c r="F19" s="36" t="s">
        <v>3</v>
      </c>
      <c r="G19" s="1"/>
    </row>
    <row r="20" spans="1:7" x14ac:dyDescent="0.45">
      <c r="A20" s="1"/>
      <c r="B20" s="42" t="s">
        <v>10</v>
      </c>
      <c r="C20" s="42"/>
      <c r="D20" s="42"/>
      <c r="E20" s="42"/>
      <c r="F20" s="42"/>
      <c r="G20" s="1"/>
    </row>
    <row r="21" spans="1:7" x14ac:dyDescent="0.45">
      <c r="A21" s="1"/>
      <c r="B21" s="70" t="s">
        <v>18</v>
      </c>
      <c r="C21" s="70"/>
      <c r="D21" s="70"/>
      <c r="E21" s="9">
        <v>-266441.71626984252</v>
      </c>
      <c r="F21" s="36" t="s">
        <v>3</v>
      </c>
      <c r="G21" s="1"/>
    </row>
    <row r="22" spans="1:7" x14ac:dyDescent="0.45">
      <c r="A22" s="1"/>
      <c r="B22" s="42" t="s">
        <v>23</v>
      </c>
      <c r="C22" s="42"/>
      <c r="D22" s="42"/>
      <c r="E22" s="10">
        <f>SUM(E21,E19,E17,E15)</f>
        <v>8817881.0660020672</v>
      </c>
      <c r="F22" s="11" t="s">
        <v>3</v>
      </c>
      <c r="G22" s="1"/>
    </row>
    <row r="23" spans="1:7" ht="28.5" customHeight="1" x14ac:dyDescent="0.45">
      <c r="A23" s="1"/>
      <c r="B23" s="68" t="s">
        <v>118</v>
      </c>
      <c r="C23" s="68"/>
      <c r="D23" s="68"/>
      <c r="E23" s="68"/>
      <c r="F23" s="68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jfWmVYlgTqWNGUkIIziM2IcAlZgLvmvaSNPgV4wE13dHrXsDlYZrZC9tKfGotBOv+Q9dE4+FxJP0svsi8loXgQ==" saltValue="CC/SN9nFUbsdU2ZVeDAxh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6" t="s">
        <v>110</v>
      </c>
      <c r="C3" s="66"/>
      <c r="D3" s="66"/>
      <c r="E3" s="1"/>
      <c r="F3" s="1"/>
    </row>
    <row r="4" spans="1:6" ht="15" customHeight="1" x14ac:dyDescent="0.45">
      <c r="A4" s="1"/>
      <c r="B4" s="66"/>
      <c r="C4" s="66"/>
      <c r="D4" s="66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77" t="s">
        <v>58</v>
      </c>
      <c r="C8" s="78"/>
      <c r="D8" s="79"/>
      <c r="E8" s="1"/>
      <c r="F8" s="1"/>
    </row>
    <row r="9" spans="1:6" ht="15" customHeight="1" x14ac:dyDescent="0.45">
      <c r="A9" s="1"/>
      <c r="B9" s="19" t="s">
        <v>43</v>
      </c>
      <c r="C9" s="36" t="s">
        <v>59</v>
      </c>
      <c r="D9" s="36"/>
      <c r="E9" s="1"/>
      <c r="F9" s="1"/>
    </row>
    <row r="10" spans="1:6" x14ac:dyDescent="0.45">
      <c r="A10" s="1"/>
      <c r="B10" s="30" t="s">
        <v>158</v>
      </c>
      <c r="C10" s="8">
        <v>2947214</v>
      </c>
      <c r="D10" s="12" t="s">
        <v>3</v>
      </c>
      <c r="E10" s="1"/>
      <c r="F10" s="1"/>
    </row>
    <row r="11" spans="1:6" x14ac:dyDescent="0.45">
      <c r="A11" s="1"/>
      <c r="B11" s="30" t="s">
        <v>159</v>
      </c>
      <c r="C11" s="8">
        <v>7201</v>
      </c>
      <c r="D11" s="12" t="s">
        <v>3</v>
      </c>
      <c r="E11" s="1"/>
      <c r="F11" s="1"/>
    </row>
    <row r="12" spans="1:6" x14ac:dyDescent="0.45">
      <c r="A12" s="1"/>
      <c r="B12" s="30" t="s">
        <v>160</v>
      </c>
      <c r="C12" s="8">
        <v>8137.18</v>
      </c>
      <c r="D12" s="12" t="s">
        <v>3</v>
      </c>
      <c r="E12" s="1"/>
      <c r="F12" s="1"/>
    </row>
    <row r="13" spans="1:6" x14ac:dyDescent="0.45">
      <c r="A13" s="1"/>
      <c r="B13" s="30" t="s">
        <v>164</v>
      </c>
      <c r="C13" s="8">
        <v>103083</v>
      </c>
      <c r="D13" s="12" t="s">
        <v>3</v>
      </c>
      <c r="E13" s="1"/>
      <c r="F13" s="1"/>
    </row>
    <row r="14" spans="1:6" x14ac:dyDescent="0.45">
      <c r="A14" s="1"/>
      <c r="B14" s="30" t="s">
        <v>166</v>
      </c>
      <c r="C14" s="8">
        <v>34158</v>
      </c>
      <c r="D14" s="12" t="s">
        <v>3</v>
      </c>
      <c r="E14" s="1"/>
      <c r="F14" s="1"/>
    </row>
    <row r="15" spans="1:6" x14ac:dyDescent="0.45">
      <c r="A15" s="1"/>
      <c r="B15" s="30" t="s">
        <v>165</v>
      </c>
      <c r="C15" s="8">
        <v>3020</v>
      </c>
      <c r="D15" s="12" t="s">
        <v>3</v>
      </c>
      <c r="E15" s="1"/>
      <c r="F15" s="1"/>
    </row>
    <row r="16" spans="1:6" x14ac:dyDescent="0.45">
      <c r="A16" s="1"/>
      <c r="B16" s="46" t="s">
        <v>60</v>
      </c>
      <c r="C16" s="10">
        <f>SUM(C10:C15)</f>
        <v>3102813.18</v>
      </c>
      <c r="D16" s="11" t="s">
        <v>3</v>
      </c>
      <c r="E16" s="1"/>
      <c r="F16" s="1"/>
    </row>
    <row r="17" spans="1:6" x14ac:dyDescent="0.45">
      <c r="A17" s="1"/>
      <c r="B17" s="46" t="s">
        <v>61</v>
      </c>
      <c r="C17" s="10">
        <f>C16*(1+'Fane 12. Nøgletal'!C12)^2</f>
        <v>3226268.1900590267</v>
      </c>
      <c r="D17" s="11" t="s">
        <v>3</v>
      </c>
      <c r="E17" s="1"/>
      <c r="F17" s="1"/>
    </row>
    <row r="18" spans="1:6" x14ac:dyDescent="0.45">
      <c r="A18" s="1"/>
      <c r="B18" s="14"/>
      <c r="C18" s="13"/>
      <c r="D18" s="13"/>
      <c r="E18" s="1"/>
      <c r="F18" s="1"/>
    </row>
    <row r="19" spans="1:6" x14ac:dyDescent="0.45">
      <c r="A19" s="1"/>
      <c r="B19" s="14"/>
      <c r="C19" s="13"/>
      <c r="D19" s="13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  <row r="53" spans="1:6" x14ac:dyDescent="0.45">
      <c r="A53" s="1"/>
      <c r="B53" s="1"/>
      <c r="C53" s="1"/>
      <c r="D53" s="1"/>
      <c r="E53" s="1"/>
      <c r="F53" s="1"/>
    </row>
  </sheetData>
  <sheetProtection algorithmName="SHA-512" hashValue="ctw8rOWAtIo8Ft1wAuNt3Ye4EPWY0TLg17xPIUdZOSGDIfgfkG2sBbJ2eKl7cB6GS8lQOWM/uDd9rjPacA12nA==" saltValue="wfRDxYilbnDr50B2Otv1s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45">
      <c r="A4" s="1"/>
      <c r="B4" s="71"/>
      <c r="C4" s="71"/>
      <c r="D4" s="71"/>
      <c r="E4" s="71"/>
      <c r="F4" s="71"/>
      <c r="G4" s="1"/>
    </row>
    <row r="5" spans="1:7" ht="15" customHeight="1" x14ac:dyDescent="0.45">
      <c r="A5" s="1"/>
      <c r="B5" s="37"/>
      <c r="C5" s="37"/>
      <c r="D5" s="37"/>
      <c r="E5" s="37"/>
      <c r="F5" s="37"/>
      <c r="G5" s="1"/>
    </row>
    <row r="6" spans="1:7" ht="15" customHeight="1" x14ac:dyDescent="0.4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45">
      <c r="A7" s="1"/>
      <c r="B7" s="81" t="s">
        <v>45</v>
      </c>
      <c r="C7" s="81"/>
      <c r="D7" s="81"/>
      <c r="E7" s="8">
        <v>-157611.1048</v>
      </c>
      <c r="F7" s="12" t="s">
        <v>3</v>
      </c>
      <c r="G7" s="1"/>
    </row>
    <row r="8" spans="1:7" ht="15" customHeight="1" x14ac:dyDescent="0.45">
      <c r="A8" s="1"/>
      <c r="B8" s="81" t="s">
        <v>46</v>
      </c>
      <c r="C8" s="81"/>
      <c r="D8" s="81"/>
      <c r="E8" s="8">
        <v>948027.34000000078</v>
      </c>
      <c r="F8" s="12" t="s">
        <v>3</v>
      </c>
      <c r="G8" s="1"/>
    </row>
    <row r="9" spans="1:7" ht="15" customHeight="1" x14ac:dyDescent="0.45">
      <c r="A9" s="1"/>
      <c r="B9" s="83" t="s">
        <v>129</v>
      </c>
      <c r="C9" s="84"/>
      <c r="D9" s="85"/>
      <c r="E9" s="9">
        <f>SUM(E7:E8)</f>
        <v>790416.23520000081</v>
      </c>
      <c r="F9" s="15" t="s">
        <v>3</v>
      </c>
      <c r="G9" s="1"/>
    </row>
    <row r="10" spans="1:7" ht="15" customHeight="1" x14ac:dyDescent="0.45">
      <c r="A10" s="1"/>
      <c r="B10" s="77"/>
      <c r="C10" s="78"/>
      <c r="D10" s="78"/>
      <c r="E10" s="78"/>
      <c r="F10" s="79"/>
      <c r="G10" s="1"/>
    </row>
    <row r="11" spans="1:7" ht="27" customHeight="1" x14ac:dyDescent="0.45">
      <c r="A11" s="1"/>
      <c r="B11" s="68" t="s">
        <v>113</v>
      </c>
      <c r="C11" s="68"/>
      <c r="D11" s="68"/>
      <c r="E11" s="68"/>
      <c r="F11" s="68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99</v>
      </c>
      <c r="C14" s="80"/>
      <c r="D14" s="80"/>
      <c r="E14" s="80"/>
      <c r="F14" s="80"/>
      <c r="G14" s="1"/>
    </row>
    <row r="15" spans="1:7" x14ac:dyDescent="0.45">
      <c r="A15" s="1"/>
      <c r="B15" s="81" t="s">
        <v>100</v>
      </c>
      <c r="C15" s="81"/>
      <c r="D15" s="81"/>
      <c r="E15" s="8">
        <v>9109191.8098920714</v>
      </c>
      <c r="F15" s="12" t="s">
        <v>3</v>
      </c>
      <c r="G15" s="1"/>
    </row>
    <row r="16" spans="1:7" x14ac:dyDescent="0.45">
      <c r="A16" s="1"/>
      <c r="B16" s="81" t="s">
        <v>101</v>
      </c>
      <c r="C16" s="81"/>
      <c r="D16" s="81"/>
      <c r="E16" s="8">
        <v>6829997.9700000007</v>
      </c>
      <c r="F16" s="12" t="s">
        <v>3</v>
      </c>
      <c r="G16" s="1"/>
    </row>
    <row r="17" spans="1:7" x14ac:dyDescent="0.4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45">
      <c r="A18" s="1"/>
      <c r="B18" s="82" t="s">
        <v>130</v>
      </c>
      <c r="C18" s="82"/>
      <c r="D18" s="82"/>
      <c r="E18" s="9">
        <f>E15-(E16-E17)</f>
        <v>2279193.8398920707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68" t="s">
        <v>112</v>
      </c>
      <c r="C20" s="68"/>
      <c r="D20" s="68"/>
      <c r="E20" s="68"/>
      <c r="F20" s="68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80" t="s">
        <v>66</v>
      </c>
      <c r="C23" s="80"/>
      <c r="D23" s="80"/>
      <c r="E23" s="80"/>
      <c r="F23" s="80"/>
      <c r="G23" s="1"/>
    </row>
    <row r="24" spans="1:7" x14ac:dyDescent="0.45">
      <c r="A24" s="1"/>
      <c r="B24" s="81" t="s">
        <v>67</v>
      </c>
      <c r="C24" s="81"/>
      <c r="D24" s="81"/>
      <c r="E24" s="8">
        <v>8621378.9601253066</v>
      </c>
      <c r="F24" s="12" t="s">
        <v>3</v>
      </c>
      <c r="G24" s="1"/>
    </row>
    <row r="25" spans="1:7" x14ac:dyDescent="0.45">
      <c r="A25" s="1"/>
      <c r="B25" s="81" t="s">
        <v>68</v>
      </c>
      <c r="C25" s="81"/>
      <c r="D25" s="81"/>
      <c r="E25" s="8">
        <v>6445463.1299999999</v>
      </c>
      <c r="F25" s="12" t="s">
        <v>3</v>
      </c>
      <c r="G25" s="1"/>
    </row>
    <row r="26" spans="1:7" x14ac:dyDescent="0.4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45">
      <c r="A27" s="1"/>
      <c r="B27" s="82" t="s">
        <v>130</v>
      </c>
      <c r="C27" s="82"/>
      <c r="D27" s="82"/>
      <c r="E27" s="9">
        <f>E24-(E25-E26)</f>
        <v>2175915.8301253067</v>
      </c>
      <c r="F27" s="15" t="s">
        <v>3</v>
      </c>
      <c r="G27" s="1"/>
    </row>
    <row r="28" spans="1:7" x14ac:dyDescent="0.45">
      <c r="A28" s="1"/>
      <c r="B28" s="77"/>
      <c r="C28" s="78"/>
      <c r="D28" s="78"/>
      <c r="E28" s="78"/>
      <c r="F28" s="79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80" t="s">
        <v>114</v>
      </c>
      <c r="C31" s="80"/>
      <c r="D31" s="80"/>
      <c r="E31" s="80"/>
      <c r="F31" s="80"/>
      <c r="G31" s="1"/>
    </row>
    <row r="32" spans="1:7" x14ac:dyDescent="0.45">
      <c r="A32" s="1"/>
      <c r="B32" s="74" t="s">
        <v>47</v>
      </c>
      <c r="C32" s="74"/>
      <c r="D32" s="74"/>
      <c r="E32" s="8">
        <f>E9</f>
        <v>790416.23520000081</v>
      </c>
      <c r="F32" s="12" t="s">
        <v>3</v>
      </c>
      <c r="G32" s="1"/>
    </row>
    <row r="33" spans="1:7" x14ac:dyDescent="0.4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4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45">
      <c r="A35" s="1"/>
      <c r="B35" s="82" t="s">
        <v>149</v>
      </c>
      <c r="C35" s="82"/>
      <c r="D35" s="82"/>
      <c r="E35" s="9">
        <f>SUM(E32:E33)/E34</f>
        <v>197604.0588000002</v>
      </c>
      <c r="F35" s="15" t="s">
        <v>3</v>
      </c>
      <c r="G35" s="1"/>
    </row>
    <row r="36" spans="1:7" x14ac:dyDescent="0.45">
      <c r="A36" s="1"/>
      <c r="B36" s="80"/>
      <c r="C36" s="80"/>
      <c r="D36" s="80"/>
      <c r="E36" s="80"/>
      <c r="F36" s="80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</sheetData>
  <sheetProtection algorithmName="SHA-512" hashValue="8XfVrypecPwYyKj4im40M/CqMVuXrVvgGGOrOZFO1xASq7bK3AtmICTdESRDb8DJEfHXvgEV55jJeJ70W4EetA==" saltValue="9tjyBRAkQ6BNLru47pQBt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45">
      <c r="A4" s="1"/>
      <c r="B4" s="71"/>
      <c r="C4" s="71"/>
      <c r="D4" s="71"/>
      <c r="E4" s="71"/>
      <c r="F4" s="7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ht="15" customHeight="1" x14ac:dyDescent="0.4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4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4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45">
      <c r="A11" s="1"/>
      <c r="B11" s="1"/>
      <c r="C11" s="1"/>
      <c r="D11" s="1"/>
      <c r="E11" s="1"/>
      <c r="F11" s="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XQ28NUgUQqBbP+sKvlh5taogCOzy8Hhkvc6mxLon2P/V90w6xz7l2sJ+AKy/WxOXula51ycK8b2iG0A8QIcaoA==" saltValue="vJmRuvVcWWwkud2r+VWrC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2021-09-14T21:14:07Z</dcterms:modified>
</cp:coreProperties>
</file>