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Jammerbugt Forsyning AS (S054)\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C32" i="2"/>
  <c r="E24" i="32" l="1"/>
  <c r="E32" i="32" s="1"/>
  <c r="E34" i="32" s="1"/>
  <c r="E28" i="32" l="1"/>
  <c r="C13"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4"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<sst xmlns="http://schemas.openxmlformats.org/spreadsheetml/2006/main" count="605" uniqueCount="288">
  <si>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</si>
  <si>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</si>
  <si>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</si>
  <si>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</si>
  <si>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</si>
  <si>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</si>
  <si>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</si>
  <si>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</si>
  <si>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</si>
  <si>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</si>
  <si>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</si>
  <si>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</si>
  <si>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</si>
  <si>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</si>
  <si>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</si>
  <si>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</si>
  <si>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</si>
  <si>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</si>
  <si>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</si>
  <si>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</si>
  <si>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</si>
  <si>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</si>
  <si>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</si>
  <si>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</si>
  <si>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</si>
  <si>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</si>
  <si>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</si>
  <si>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</si>
  <si>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</si>
  <si>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</si>
  <si>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</si>
  <si>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</si>
  <si>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</si>
  <si>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</si>
  <si>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</si>
  <si>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</si>
  <si>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</si>
  <si>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</si>
  <si>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</si>
  <si>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</si>
  <si>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</si>
  <si>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</si>
  <si>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</si>
  <si>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</si>
  <si>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</si>
  <si>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</si>
  <si>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</si>
  <si>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</si>
  <si>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</si>
  <si>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</si>
  <si>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</si>
  <si>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</si>
  <si>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</si>
  <si>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</si>
  <si>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</si>
  <si>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</si>
  <si>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</si>
  <si>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</si>
  <si>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</si>
  <si>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</si>
  <si>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</si>
  <si>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</si>
  <si>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</si>
  <si>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</si>
  <si>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</si>
  <si>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</si>
  <si>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</si>
  <si>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</si>
  <si>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</si>
  <si>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</si>
  <si>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</si>
  <si>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</si>
  <si>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</si>
  <si>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</si>
  <si>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</si>
  <si>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</si>
  <si>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</si>
  <si>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</si>
  <si>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</si>
  <si>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</si>
  <si>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</si>
  <si>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</si>
  <si>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</si>
  <si>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</si>
  <si>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</si>
  <si>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</si>
  <si>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</si>
  <si>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</si>
  <si>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</si>
  <si>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</si>
  <si>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</si>
  <si>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</si>
  <si>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</si>
  <si>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</si>
  <si>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</si>
  <si>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</si>
  <si>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</si>
  <si>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</si>
  <si>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</si>
  <si>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</si>
  <si>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</si>
  <si>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</si>
  <si>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</si>
  <si>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</si>
  <si>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</si>
  <si>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</si>
  <si>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</si>
  <si>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</si>
  <si>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</si>
  <si>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</si>
  <si>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</si>
  <si>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</si>
  <si>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</si>
  <si>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</si>
  <si>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</si>
  <si>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</si>
  <si>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</si>
  <si>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</si>
  <si>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</si>
  <si>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</si>
  <si>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</si>
  <si>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</si>
  <si>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</si>
  <si>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</si>
  <si>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</si>
  <si>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</si>
  <si>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</si>
  <si>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</si>
  <si>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</si>
  <si>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</si>
  <si>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</si>
  <si>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</si>
  <si>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</si>
  <si>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</si>
  <si>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</si>
  <si>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</si>
  <si>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</si>
  <si>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</si>
  <si>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</si>
  <si>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</si>
  <si>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</si>
  <si>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</si>
  <si>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</si>
  <si>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</si>
  <si>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</si>
  <si>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</si>
  <si>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</si>
  <si>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</si>
  <si>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</si>
  <si>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</si>
  <si>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</si>
  <si>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</si>
  <si>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</si>
  <si>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</si>
  <si>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</si>
  <si>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</si>
  <si>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</si>
  <si>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</si>
  <si>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</si>
  <si>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</si>
  <si>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</si>
  <si>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</si>
  <si>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</si>
  <si>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</si>
  <si>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</si>
  <si>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</si>
  <si>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</si>
  <si>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</si>
  <si>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</si>
  <si>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</si>
  <si>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</si>
  <si>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</si>
  <si>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</si>
  <si>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</si>
  <si>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</si>
  <si>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</si>
  <si>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</si>
  <si>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</si>
  <si>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</si>
  <si>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</si>
  <si>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</si>
  <si>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</si>
  <si>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</si>
  <si>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</si>
  <si>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</si>
  <si>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</si>
  <si>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</si>
  <si>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</si>
  <si>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</si>
  <si>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</si>
  <si>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</si>
  <si>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</si>
  <si>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</si>
  <si>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</si>
  <si>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</si>
  <si>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</si>
  <si>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</si>
  <si>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</si>
  <si>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</si>
  <si>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</si>
  <si>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</si>
  <si>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</si>
  <si>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</si>
  <si>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</si>
  <si>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</si>
  <si>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</si>
  <si>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</si>
  <si>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</si>
  <si>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</si>
  <si>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</si>
  <si>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</si>
  <si>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</si>
  <si>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</si>
  <si>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</si>
  <si>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</si>
  <si>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</si>
  <si>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</si>
  <si>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</si>
  <si>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</si>
  <si>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</si>
  <si>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</si>
  <si>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</si>
  <si>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</si>
  <si>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</si>
  <si>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</si>
  <si>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</si>
  <si>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</si>
  <si>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</si>
  <si>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</si>
  <si>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</si>
  <si>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</si>
  <si>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</si>
  <si>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</si>
  <si>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</si>
  <si>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</si>
  <si>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</si>
  <si>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</si>
  <si>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</si>
  <si>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</si>
  <si>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</si>
  <si>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</si>
  <si>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</si>
  <si>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</si>
  <si>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</si>
  <si>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</si>
  <si>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</si>
  <si>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</si>
  <si>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</si>
  <si>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</si>
  <si>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</si>
  <si>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</si>
  <si>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</si>
  <si>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</si>
  <si>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</si>
  <si>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</si>
  <si>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</si>
  <si>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</si>
  <si>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</si>
  <si>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</si>
  <si>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</si>
  <si>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</si>
  <si>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</si>
  <si>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</si>
  <si>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</si>
  <si>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</si>
  <si>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</si>
  <si>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</si>
  <si>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</si>
  <si>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</si>
  <si>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</si>
  <si>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</si>
  <si>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</si>
  <si>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</si>
  <si>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</si>
  <si>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</si>
  <si>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Ejendomsskatter</t>
  </si>
  <si>
    <t>Resultat af kontrol med overholdelse af den økonomiske ramme for 2021</t>
  </si>
  <si>
    <t>Nye tillæg</t>
  </si>
  <si>
    <t>Ingen engangstillæg</t>
  </si>
  <si>
    <t>Ingen anlægsprojekter</t>
  </si>
  <si>
    <t>Ingen tilknyttet virksomhed under hovedvirksomheden</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</si>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</sst>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5" t="s">
        <v>4</v>
      </c>
      <c r="E6" s="105"/>
      <c r="F6" s="105"/>
      <c r="G6" s="105"/>
      <c r="H6" s="3"/>
      <c r="I6" s="1"/>
    </row>
    <row r="7" spans="1:9" ht="15" customHeight="1" x14ac:dyDescent="0.25">
      <c r="A7" s="1"/>
      <c r="B7" s="1"/>
      <c r="C7" s="3"/>
      <c r="D7" s="105"/>
      <c r="E7" s="105"/>
      <c r="F7" s="105"/>
      <c r="G7" s="105"/>
      <c r="H7" s="3"/>
      <c r="I7" s="1"/>
    </row>
    <row r="8" spans="1:9" ht="15.75" x14ac:dyDescent="0.25">
      <c r="A8" s="1"/>
      <c r="B8" s="1"/>
      <c r="C8" s="4"/>
      <c r="D8" s="113" t="s">
        <v>225</v>
      </c>
      <c r="E8" s="113"/>
      <c r="F8" s="113"/>
      <c r="G8" s="113"/>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2" t="s">
        <v>5</v>
      </c>
      <c r="E11" s="112"/>
      <c r="F11" s="112"/>
      <c r="G11" s="112"/>
      <c r="H11" s="5"/>
      <c r="I11" s="1"/>
    </row>
    <row r="12" spans="1:9" x14ac:dyDescent="0.25">
      <c r="A12" s="1"/>
      <c r="B12" s="1"/>
      <c r="C12" s="1"/>
      <c r="D12" s="1"/>
      <c r="E12" s="1"/>
      <c r="F12" s="1"/>
      <c r="G12" s="1"/>
      <c r="H12" s="5"/>
      <c r="I12" s="1"/>
    </row>
    <row r="13" spans="1:9" x14ac:dyDescent="0.25">
      <c r="A13" s="1"/>
      <c r="B13" s="1"/>
      <c r="C13" s="6" t="s">
        <v>6</v>
      </c>
      <c r="D13" s="117" t="s">
        <v>169</v>
      </c>
      <c r="E13" s="118"/>
      <c r="F13" s="118"/>
      <c r="G13" s="119"/>
      <c r="H13" s="5"/>
      <c r="I13" s="1"/>
    </row>
    <row r="14" spans="1:9" x14ac:dyDescent="0.25">
      <c r="A14" s="1"/>
      <c r="B14" s="1"/>
      <c r="C14" s="6" t="s">
        <v>16</v>
      </c>
      <c r="D14" s="102" t="s">
        <v>235</v>
      </c>
      <c r="E14" s="103"/>
      <c r="F14" s="103"/>
      <c r="G14" s="104"/>
      <c r="H14" s="5"/>
      <c r="I14" s="1"/>
    </row>
    <row r="15" spans="1:9" x14ac:dyDescent="0.25">
      <c r="A15" s="1"/>
      <c r="B15" s="1"/>
      <c r="C15" s="6" t="s">
        <v>34</v>
      </c>
      <c r="D15" s="102" t="s">
        <v>170</v>
      </c>
      <c r="E15" s="103"/>
      <c r="F15" s="103"/>
      <c r="G15" s="104"/>
      <c r="H15" s="5"/>
      <c r="I15" s="1"/>
    </row>
    <row r="16" spans="1:9" x14ac:dyDescent="0.25">
      <c r="A16" s="1"/>
      <c r="B16" s="1"/>
      <c r="C16" s="6" t="s">
        <v>35</v>
      </c>
      <c r="D16" s="102" t="s">
        <v>182</v>
      </c>
      <c r="E16" s="103"/>
      <c r="F16" s="103"/>
      <c r="G16" s="104"/>
      <c r="H16" s="5"/>
      <c r="I16" s="1"/>
    </row>
    <row r="17" spans="1:9" x14ac:dyDescent="0.25">
      <c r="A17" s="1"/>
      <c r="B17" s="1"/>
      <c r="C17" s="6" t="s">
        <v>119</v>
      </c>
      <c r="D17" s="102" t="s">
        <v>183</v>
      </c>
      <c r="E17" s="103"/>
      <c r="F17" s="103"/>
      <c r="G17" s="104"/>
      <c r="H17" s="5"/>
      <c r="I17" s="1"/>
    </row>
    <row r="18" spans="1:9" x14ac:dyDescent="0.25">
      <c r="A18" s="1"/>
      <c r="B18" s="1"/>
      <c r="C18" s="6" t="s">
        <v>106</v>
      </c>
      <c r="D18" s="114" t="s">
        <v>95</v>
      </c>
      <c r="E18" s="115"/>
      <c r="F18" s="115"/>
      <c r="G18" s="116"/>
      <c r="H18" s="5"/>
      <c r="I18" s="1"/>
    </row>
    <row r="19" spans="1:9" x14ac:dyDescent="0.25">
      <c r="A19" s="1"/>
      <c r="B19" s="1"/>
      <c r="C19" s="6" t="s">
        <v>107</v>
      </c>
      <c r="D19" s="114" t="s">
        <v>96</v>
      </c>
      <c r="E19" s="115"/>
      <c r="F19" s="115"/>
      <c r="G19" s="116"/>
      <c r="H19" s="5"/>
      <c r="I19" s="1"/>
    </row>
    <row r="20" spans="1:9" x14ac:dyDescent="0.25">
      <c r="A20" s="1"/>
      <c r="B20" s="1"/>
      <c r="C20" s="6" t="s">
        <v>7</v>
      </c>
      <c r="D20" s="114" t="s">
        <v>10</v>
      </c>
      <c r="E20" s="115"/>
      <c r="F20" s="115"/>
      <c r="G20" s="116"/>
      <c r="H20" s="5"/>
      <c r="I20" s="1"/>
    </row>
    <row r="21" spans="1:9" x14ac:dyDescent="0.25">
      <c r="A21" s="1"/>
      <c r="B21" s="1"/>
      <c r="C21" s="6" t="s">
        <v>108</v>
      </c>
      <c r="D21" s="106" t="s">
        <v>12</v>
      </c>
      <c r="E21" s="107"/>
      <c r="F21" s="107"/>
      <c r="G21" s="108"/>
      <c r="H21" s="5"/>
      <c r="I21" s="1"/>
    </row>
    <row r="22" spans="1:9" x14ac:dyDescent="0.25">
      <c r="A22" s="1"/>
      <c r="B22" s="1"/>
      <c r="C22" s="6" t="s">
        <v>83</v>
      </c>
      <c r="D22" s="109" t="s">
        <v>184</v>
      </c>
      <c r="E22" s="110"/>
      <c r="F22" s="110"/>
      <c r="G22" s="111"/>
      <c r="H22" s="5"/>
      <c r="I22" s="1"/>
    </row>
    <row r="23" spans="1:9" x14ac:dyDescent="0.25">
      <c r="A23" s="1"/>
      <c r="B23" s="1"/>
      <c r="C23" s="6" t="s">
        <v>8</v>
      </c>
      <c r="D23" s="109" t="s">
        <v>261</v>
      </c>
      <c r="E23" s="110"/>
      <c r="F23" s="110"/>
      <c r="G23" s="111"/>
      <c r="H23" s="5"/>
      <c r="I23" s="1"/>
    </row>
    <row r="24" spans="1:9" x14ac:dyDescent="0.25">
      <c r="A24" s="1"/>
      <c r="B24" s="1"/>
      <c r="C24" s="6" t="s">
        <v>9</v>
      </c>
      <c r="D24" s="109" t="s">
        <v>185</v>
      </c>
      <c r="E24" s="110"/>
      <c r="F24" s="110"/>
      <c r="G24" s="111"/>
      <c r="H24" s="5"/>
      <c r="I24" s="1"/>
    </row>
    <row r="25" spans="1:9" x14ac:dyDescent="0.25">
      <c r="A25" s="1"/>
      <c r="B25" s="1"/>
      <c r="C25" s="6" t="s">
        <v>246</v>
      </c>
      <c r="D25" s="109" t="s">
        <v>237</v>
      </c>
      <c r="E25" s="110"/>
      <c r="F25" s="110"/>
      <c r="G25" s="111"/>
      <c r="H25" s="1"/>
      <c r="I25" s="1"/>
    </row>
    <row r="26" spans="1:9" x14ac:dyDescent="0.25">
      <c r="A26" s="1"/>
      <c r="B26" s="1"/>
      <c r="C26" s="6" t="s">
        <v>247</v>
      </c>
      <c r="D26" s="109" t="s">
        <v>84</v>
      </c>
      <c r="E26" s="110"/>
      <c r="F26" s="110"/>
      <c r="G26" s="111"/>
      <c r="H26" s="1"/>
      <c r="I26" s="1"/>
    </row>
    <row r="27" spans="1:9" x14ac:dyDescent="0.25">
      <c r="A27" s="1"/>
      <c r="B27" s="1"/>
      <c r="C27" s="6" t="s">
        <v>248</v>
      </c>
      <c r="D27" s="109" t="s">
        <v>85</v>
      </c>
      <c r="E27" s="110"/>
      <c r="F27" s="110"/>
      <c r="G27" s="111"/>
      <c r="H27" s="1"/>
      <c r="I27" s="1"/>
    </row>
    <row r="28" spans="1:9" x14ac:dyDescent="0.25">
      <c r="A28" s="1"/>
      <c r="B28" s="1"/>
      <c r="C28" s="6" t="s">
        <v>15</v>
      </c>
      <c r="D28" s="109" t="s">
        <v>86</v>
      </c>
      <c r="E28" s="110"/>
      <c r="F28" s="110"/>
      <c r="G28" s="111"/>
      <c r="H28" s="1"/>
      <c r="I28" s="1"/>
    </row>
    <row r="29" spans="1:9" x14ac:dyDescent="0.25">
      <c r="A29" s="1"/>
      <c r="B29" s="1"/>
      <c r="C29" s="6" t="s">
        <v>37</v>
      </c>
      <c r="D29" s="109" t="s">
        <v>134</v>
      </c>
      <c r="E29" s="110"/>
      <c r="F29" s="110"/>
      <c r="G29" s="111"/>
      <c r="H29" s="1"/>
      <c r="I29" s="1"/>
    </row>
    <row r="30" spans="1:9" x14ac:dyDescent="0.25">
      <c r="A30" s="1"/>
      <c r="B30" s="1"/>
      <c r="C30" s="6" t="s">
        <v>38</v>
      </c>
      <c r="D30" s="109" t="s">
        <v>36</v>
      </c>
      <c r="E30" s="110"/>
      <c r="F30" s="110"/>
      <c r="G30" s="111"/>
      <c r="H30" s="1"/>
      <c r="I30" s="1"/>
    </row>
    <row r="31" spans="1:9" x14ac:dyDescent="0.25">
      <c r="A31" s="1"/>
      <c r="B31" s="1"/>
      <c r="C31" s="6" t="s">
        <v>249</v>
      </c>
      <c r="D31" s="120" t="s">
        <v>105</v>
      </c>
      <c r="E31" s="121"/>
      <c r="F31" s="121"/>
      <c r="G31" s="122"/>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9"/>
      <c r="B51" s="49"/>
      <c r="C51" s="49"/>
      <c r="D51" s="49"/>
      <c r="E51" s="49"/>
      <c r="F51" s="49"/>
      <c r="G51" s="49"/>
      <c r="H51" s="49"/>
      <c r="I51" s="49"/>
    </row>
  </sheetData>
  <sheetProtection algorithmName="SHA-512" hashValue="paJwuEBRtdVK12I4CKDWt5TB+qxWqmzaXI5y39QAVxJylU56tcaZHRuFEzUrFApfFsPqs5TXcuOL1pbKYidE2w==" saltValue="Vs1yIIvXytCeeKe7IPyfIg=="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3" t="s">
        <v>111</v>
      </c>
      <c r="C3" s="123"/>
      <c r="D3" s="123"/>
      <c r="E3" s="1"/>
      <c r="F3" s="1"/>
    </row>
    <row r="4" spans="1:6" ht="15" customHeight="1" x14ac:dyDescent="0.25">
      <c r="A4" s="1"/>
      <c r="B4" s="123"/>
      <c r="C4" s="123"/>
      <c r="D4" s="123"/>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199</v>
      </c>
      <c r="C8" s="132"/>
      <c r="D8" s="133"/>
      <c r="E8" s="1"/>
      <c r="F8" s="1"/>
    </row>
    <row r="9" spans="1:6" ht="15" customHeight="1" x14ac:dyDescent="0.25">
      <c r="A9" s="1"/>
      <c r="B9" s="26" t="s">
        <v>32</v>
      </c>
      <c r="C9" s="58" t="s">
        <v>240</v>
      </c>
      <c r="D9" s="11"/>
      <c r="E9" s="1"/>
      <c r="F9" s="1"/>
    </row>
    <row r="10" spans="1:6" x14ac:dyDescent="0.25">
      <c r="A10" s="1"/>
      <c r="B10" s="94" t="s">
        <v>273</v>
      </c>
      <c r="C10" s="9">
        <v>1230180</v>
      </c>
      <c r="D10" s="14" t="s">
        <v>3</v>
      </c>
      <c r="E10" s="1"/>
      <c r="F10" s="1"/>
    </row>
    <row r="11" spans="1:6" x14ac:dyDescent="0.25">
      <c r="A11" s="1"/>
      <c r="B11" s="94" t="s">
        <v>274</v>
      </c>
      <c r="C11" s="9">
        <v>99665</v>
      </c>
      <c r="D11" s="14" t="s">
        <v>3</v>
      </c>
      <c r="E11" s="1"/>
      <c r="F11" s="1"/>
    </row>
    <row r="12" spans="1:6" x14ac:dyDescent="0.25">
      <c r="A12" s="1"/>
      <c r="B12" s="94" t="s">
        <v>275</v>
      </c>
      <c r="C12" s="9">
        <v>103907</v>
      </c>
      <c r="D12" s="14" t="s">
        <v>3</v>
      </c>
      <c r="E12" s="1"/>
      <c r="F12" s="1"/>
    </row>
    <row r="13" spans="1:6" x14ac:dyDescent="0.25">
      <c r="A13" s="1"/>
      <c r="B13" s="32" t="s">
        <v>200</v>
      </c>
      <c r="C13" s="12">
        <f>SUM(C10:C12)</f>
        <v>1433752</v>
      </c>
      <c r="D13" s="13" t="s">
        <v>3</v>
      </c>
      <c r="E13" s="1"/>
      <c r="F13" s="1"/>
    </row>
    <row r="14" spans="1:6" x14ac:dyDescent="0.25">
      <c r="A14" s="1"/>
      <c r="B14" s="32" t="s">
        <v>201</v>
      </c>
      <c r="C14" s="12">
        <f>C13*(1+'Fane 15. Nøgletal'!C15)^2</f>
        <v>1537652.2223347202</v>
      </c>
      <c r="D14" s="13" t="s">
        <v>3</v>
      </c>
      <c r="E14" s="1"/>
      <c r="F14" s="1"/>
    </row>
    <row r="15" spans="1:6" x14ac:dyDescent="0.25">
      <c r="A15" s="1"/>
      <c r="B15" s="16"/>
      <c r="C15" s="15"/>
      <c r="D15" s="15"/>
      <c r="E15" s="1"/>
      <c r="F15" s="1"/>
    </row>
    <row r="16" spans="1:6" x14ac:dyDescent="0.25">
      <c r="A16" s="1"/>
      <c r="B16" s="16"/>
      <c r="C16" s="15"/>
      <c r="D16" s="15"/>
      <c r="E16" s="1"/>
      <c r="F16" s="1"/>
    </row>
    <row r="17" spans="1:6" x14ac:dyDescent="0.25">
      <c r="A17" s="1"/>
      <c r="B17" s="131" t="s">
        <v>117</v>
      </c>
      <c r="C17" s="132"/>
      <c r="D17" s="133"/>
      <c r="E17" s="1"/>
      <c r="F17" s="1"/>
    </row>
    <row r="18" spans="1:6" x14ac:dyDescent="0.25">
      <c r="A18" s="1"/>
      <c r="B18" s="94" t="s">
        <v>99</v>
      </c>
      <c r="C18" s="9">
        <v>0</v>
      </c>
      <c r="D18" s="14" t="s">
        <v>3</v>
      </c>
      <c r="E18" s="1"/>
      <c r="F18" s="1"/>
    </row>
    <row r="19" spans="1:6" x14ac:dyDescent="0.25">
      <c r="A19" s="1"/>
      <c r="B19" s="94" t="s">
        <v>129</v>
      </c>
      <c r="C19" s="9">
        <v>0</v>
      </c>
      <c r="D19" s="14" t="s">
        <v>3</v>
      </c>
      <c r="E19" s="1"/>
      <c r="F19" s="1"/>
    </row>
    <row r="20" spans="1:6" x14ac:dyDescent="0.25">
      <c r="A20" s="1"/>
      <c r="B20" s="94" t="s">
        <v>155</v>
      </c>
      <c r="C20" s="9">
        <v>0</v>
      </c>
      <c r="D20" s="14" t="s">
        <v>3</v>
      </c>
      <c r="E20" s="1"/>
      <c r="F20" s="1"/>
    </row>
    <row r="21" spans="1:6" x14ac:dyDescent="0.25">
      <c r="A21" s="1"/>
      <c r="B21" s="33" t="s">
        <v>202</v>
      </c>
      <c r="C21" s="9">
        <v>0</v>
      </c>
      <c r="D21" s="40" t="s">
        <v>3</v>
      </c>
      <c r="E21" s="1"/>
      <c r="F21" s="1"/>
    </row>
    <row r="22" spans="1:6" x14ac:dyDescent="0.25">
      <c r="A22" s="1"/>
      <c r="B22" s="131"/>
      <c r="C22" s="132"/>
      <c r="D22" s="133"/>
      <c r="E22" s="1"/>
      <c r="F22" s="1"/>
    </row>
    <row r="23" spans="1:6" x14ac:dyDescent="0.25">
      <c r="A23" s="1"/>
      <c r="B23" s="1"/>
      <c r="C23" s="1"/>
      <c r="D23" s="1"/>
      <c r="E23" s="1"/>
      <c r="F23" s="1"/>
    </row>
    <row r="24" spans="1:6" x14ac:dyDescent="0.25">
      <c r="A24" s="1"/>
      <c r="B24" s="1"/>
      <c r="C24" s="1"/>
      <c r="D24" s="1"/>
      <c r="E24" s="1"/>
      <c r="F24" s="1"/>
    </row>
    <row r="25" spans="1:6" x14ac:dyDescent="0.25">
      <c r="A25" s="1"/>
      <c r="B25" s="131" t="s">
        <v>98</v>
      </c>
      <c r="C25" s="132"/>
      <c r="D25" s="133"/>
      <c r="E25" s="1"/>
      <c r="F25" s="1"/>
    </row>
    <row r="26" spans="1:6" x14ac:dyDescent="0.25">
      <c r="A26" s="1"/>
      <c r="B26" s="94" t="s">
        <v>99</v>
      </c>
      <c r="C26" s="9">
        <v>0</v>
      </c>
      <c r="D26" s="14" t="s">
        <v>3</v>
      </c>
      <c r="E26" s="1"/>
      <c r="F26" s="1"/>
    </row>
    <row r="27" spans="1:6" x14ac:dyDescent="0.25">
      <c r="A27" s="1"/>
      <c r="B27" s="94" t="s">
        <v>129</v>
      </c>
      <c r="C27" s="9">
        <v>0</v>
      </c>
      <c r="D27" s="14" t="s">
        <v>3</v>
      </c>
      <c r="E27" s="1"/>
      <c r="F27" s="1"/>
    </row>
    <row r="28" spans="1:6" x14ac:dyDescent="0.25">
      <c r="A28" s="1"/>
      <c r="B28" s="94" t="s">
        <v>155</v>
      </c>
      <c r="C28" s="9">
        <v>0</v>
      </c>
      <c r="D28" s="14" t="s">
        <v>3</v>
      </c>
      <c r="E28" s="1"/>
      <c r="F28" s="1"/>
    </row>
    <row r="29" spans="1:6" x14ac:dyDescent="0.25">
      <c r="A29" s="1"/>
      <c r="B29" s="33" t="s">
        <v>202</v>
      </c>
      <c r="C29" s="9">
        <v>0</v>
      </c>
      <c r="D29" s="40" t="s">
        <v>3</v>
      </c>
      <c r="E29" s="1"/>
      <c r="F29" s="1"/>
    </row>
    <row r="30" spans="1:6" x14ac:dyDescent="0.25">
      <c r="A30" s="1"/>
      <c r="B30" s="131"/>
      <c r="C30" s="132"/>
      <c r="D30" s="133"/>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49"/>
      <c r="B47" s="49"/>
      <c r="C47" s="49"/>
      <c r="D47" s="49"/>
      <c r="E47" s="49"/>
      <c r="F47" s="49"/>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sheetData>
  <sheetProtection algorithmName="SHA-512" hashValue="ZU5YUh0Bb6WeNu05pEELHiTfE2Z4Hck0agzF7YaPdbX2mXR4ogfi5RPgoqA7AwWnoV4f2hpMlvYaVOXOqg13cg==" saltValue="beHEqt5M7NP2jG5vP6APcg==" spinCount="100000" sheet="1" objects="1" scenarios="1"/>
  <mergeCells count="6">
    <mergeCell ref="B30:D30"/>
    <mergeCell ref="B3:D4"/>
    <mergeCell ref="B8:D8"/>
    <mergeCell ref="B17:D17"/>
    <mergeCell ref="B25:D25"/>
    <mergeCell ref="B22:D22"/>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9" t="s">
        <v>203</v>
      </c>
      <c r="C3" s="139"/>
      <c r="D3" s="139"/>
      <c r="E3" s="139"/>
      <c r="F3" s="139"/>
      <c r="G3" s="1"/>
    </row>
    <row r="4" spans="1:7" ht="15" customHeight="1" x14ac:dyDescent="0.25">
      <c r="A4" s="1"/>
      <c r="B4" s="139"/>
      <c r="C4" s="139"/>
      <c r="D4" s="139"/>
      <c r="E4" s="139"/>
      <c r="F4" s="139"/>
      <c r="G4" s="1"/>
    </row>
    <row r="5" spans="1:7" ht="15" customHeight="1" x14ac:dyDescent="0.25">
      <c r="A5" s="1"/>
      <c r="B5" s="90"/>
      <c r="C5" s="90"/>
      <c r="D5" s="90"/>
      <c r="E5" s="90"/>
      <c r="F5" s="90"/>
      <c r="G5" s="1"/>
    </row>
    <row r="6" spans="1:7" ht="15" customHeight="1" x14ac:dyDescent="0.25">
      <c r="A6" s="1"/>
      <c r="B6" s="90"/>
      <c r="C6" s="90"/>
      <c r="D6" s="90"/>
      <c r="E6" s="90"/>
      <c r="F6" s="90"/>
      <c r="G6" s="1"/>
    </row>
    <row r="7" spans="1:7" x14ac:dyDescent="0.25">
      <c r="A7" s="1"/>
      <c r="B7" s="1"/>
      <c r="C7" s="1"/>
      <c r="D7" s="1"/>
      <c r="E7" s="1"/>
      <c r="F7" s="1"/>
      <c r="G7" s="1"/>
    </row>
    <row r="8" spans="1:7" x14ac:dyDescent="0.25">
      <c r="A8" s="1"/>
      <c r="B8" s="131" t="s">
        <v>178</v>
      </c>
      <c r="C8" s="132"/>
      <c r="D8" s="132"/>
      <c r="E8" s="132"/>
      <c r="F8" s="133"/>
      <c r="G8" s="1"/>
    </row>
    <row r="9" spans="1:7" x14ac:dyDescent="0.25">
      <c r="A9" s="1"/>
      <c r="B9" s="141" t="s">
        <v>204</v>
      </c>
      <c r="C9" s="142"/>
      <c r="D9" s="143"/>
      <c r="E9" s="9">
        <v>12449986.534529716</v>
      </c>
      <c r="F9" s="14" t="s">
        <v>3</v>
      </c>
      <c r="G9" s="1"/>
    </row>
    <row r="10" spans="1:7" x14ac:dyDescent="0.25">
      <c r="A10" s="1"/>
      <c r="B10" s="141" t="s">
        <v>271</v>
      </c>
      <c r="C10" s="142"/>
      <c r="D10" s="143"/>
      <c r="E10" s="9">
        <v>12449986.534529716</v>
      </c>
      <c r="F10" s="14" t="s">
        <v>3</v>
      </c>
      <c r="G10" s="1"/>
    </row>
    <row r="11" spans="1:7" x14ac:dyDescent="0.25">
      <c r="A11" s="1"/>
      <c r="B11" s="32"/>
      <c r="C11" s="27"/>
      <c r="D11" s="27"/>
      <c r="E11" s="27"/>
      <c r="F11" s="19"/>
      <c r="G11" s="1"/>
    </row>
    <row r="12" spans="1:7" ht="81" customHeight="1" x14ac:dyDescent="0.25">
      <c r="A12" s="1"/>
      <c r="B12" s="134" t="s">
        <v>286</v>
      </c>
      <c r="C12" s="135"/>
      <c r="D12" s="135"/>
      <c r="E12" s="135"/>
      <c r="F12" s="136"/>
      <c r="G12" s="1"/>
    </row>
    <row r="13" spans="1:7" ht="27" customHeight="1" x14ac:dyDescent="0.25">
      <c r="A13" s="1"/>
      <c r="B13" s="1"/>
      <c r="C13" s="1"/>
      <c r="D13" s="1"/>
      <c r="E13" s="1"/>
      <c r="F13" s="1"/>
      <c r="G13" s="1"/>
    </row>
    <row r="14" spans="1:7" ht="28.5" customHeight="1" x14ac:dyDescent="0.25">
      <c r="A14" s="1"/>
      <c r="B14" s="131" t="s">
        <v>179</v>
      </c>
      <c r="C14" s="132"/>
      <c r="D14" s="132"/>
      <c r="E14" s="132"/>
      <c r="F14" s="133"/>
      <c r="G14" s="1"/>
    </row>
    <row r="15" spans="1:7" x14ac:dyDescent="0.25">
      <c r="A15" s="1"/>
      <c r="B15" s="141" t="s">
        <v>281</v>
      </c>
      <c r="C15" s="142"/>
      <c r="D15" s="143"/>
      <c r="E15" s="9">
        <v>0</v>
      </c>
      <c r="F15" s="14" t="s">
        <v>3</v>
      </c>
      <c r="G15" s="1"/>
    </row>
    <row r="16" spans="1:7" x14ac:dyDescent="0.25">
      <c r="A16" s="1"/>
      <c r="B16" s="141" t="s">
        <v>282</v>
      </c>
      <c r="C16" s="142"/>
      <c r="D16" s="143"/>
      <c r="E16" s="9">
        <v>0</v>
      </c>
      <c r="F16" s="14" t="s">
        <v>3</v>
      </c>
      <c r="G16" s="1"/>
    </row>
    <row r="17" spans="1:7" x14ac:dyDescent="0.25">
      <c r="A17" s="1"/>
      <c r="B17" s="32"/>
      <c r="C17" s="27"/>
      <c r="D17" s="27"/>
      <c r="E17" s="27"/>
      <c r="F17" s="19"/>
      <c r="G17" s="1"/>
    </row>
    <row r="18" spans="1:7" ht="31.5" customHeight="1" x14ac:dyDescent="0.25">
      <c r="A18" s="1"/>
      <c r="B18" s="134" t="s">
        <v>287</v>
      </c>
      <c r="C18" s="135"/>
      <c r="D18" s="135"/>
      <c r="E18" s="135"/>
      <c r="F18" s="136"/>
      <c r="G18" s="1"/>
    </row>
    <row r="19" spans="1:7" ht="28.5" customHeight="1" x14ac:dyDescent="0.25">
      <c r="A19" s="1"/>
      <c r="B19" s="1"/>
      <c r="C19" s="1"/>
      <c r="D19" s="1"/>
      <c r="E19" s="1"/>
      <c r="F19" s="1"/>
      <c r="G19" s="1"/>
    </row>
    <row r="20" spans="1:7" ht="28.5" customHeight="1" x14ac:dyDescent="0.25">
      <c r="A20" s="1"/>
      <c r="B20" s="85" t="s">
        <v>205</v>
      </c>
      <c r="C20" s="86"/>
      <c r="D20" s="86"/>
      <c r="E20" s="86"/>
      <c r="F20" s="87"/>
      <c r="G20" s="1"/>
    </row>
    <row r="21" spans="1:7" x14ac:dyDescent="0.25">
      <c r="A21" s="1"/>
      <c r="B21" s="91" t="s">
        <v>206</v>
      </c>
      <c r="C21" s="92"/>
      <c r="D21" s="93"/>
      <c r="E21" s="9">
        <v>72134808.024982691</v>
      </c>
      <c r="F21" s="14" t="s">
        <v>3</v>
      </c>
      <c r="G21" s="1"/>
    </row>
    <row r="22" spans="1:7" x14ac:dyDescent="0.25">
      <c r="A22" s="1"/>
      <c r="B22" s="91" t="s">
        <v>207</v>
      </c>
      <c r="C22" s="92"/>
      <c r="D22" s="93"/>
      <c r="E22" s="9">
        <v>71017540</v>
      </c>
      <c r="F22" s="14" t="s">
        <v>3</v>
      </c>
      <c r="G22" s="1"/>
    </row>
    <row r="23" spans="1:7" x14ac:dyDescent="0.25">
      <c r="A23" s="1"/>
      <c r="B23" s="91" t="s">
        <v>33</v>
      </c>
      <c r="C23" s="92"/>
      <c r="D23" s="93"/>
      <c r="E23" s="9">
        <v>0</v>
      </c>
      <c r="F23" s="14" t="s">
        <v>3</v>
      </c>
      <c r="G23" s="1"/>
    </row>
    <row r="24" spans="1:7" x14ac:dyDescent="0.25">
      <c r="A24" s="1"/>
      <c r="B24" s="88" t="s">
        <v>276</v>
      </c>
      <c r="C24" s="89"/>
      <c r="D24" s="96"/>
      <c r="E24" s="72">
        <f>E21-(E22-E23)</f>
        <v>1117268.0249826908</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1" t="s">
        <v>283</v>
      </c>
      <c r="C27" s="132"/>
      <c r="D27" s="132"/>
      <c r="E27" s="132"/>
      <c r="F27" s="133"/>
      <c r="G27" s="1"/>
    </row>
    <row r="28" spans="1:7" x14ac:dyDescent="0.25">
      <c r="A28" s="1"/>
      <c r="B28" s="137" t="s">
        <v>284</v>
      </c>
      <c r="C28" s="138"/>
      <c r="D28" s="162"/>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31"/>
      <c r="C29" s="132"/>
      <c r="D29" s="132"/>
      <c r="E29" s="132"/>
      <c r="F29" s="133"/>
      <c r="G29" s="1"/>
    </row>
    <row r="30" spans="1:7" x14ac:dyDescent="0.25">
      <c r="A30" s="1"/>
      <c r="B30" s="1"/>
      <c r="C30" s="1"/>
      <c r="D30" s="1"/>
      <c r="E30" s="1"/>
      <c r="F30" s="1"/>
      <c r="G30" s="1"/>
    </row>
    <row r="31" spans="1:7" ht="28.5" customHeight="1" x14ac:dyDescent="0.25">
      <c r="A31" s="1"/>
      <c r="B31" s="131" t="s">
        <v>272</v>
      </c>
      <c r="C31" s="132"/>
      <c r="D31" s="132"/>
      <c r="E31" s="132"/>
      <c r="F31" s="133"/>
      <c r="G31" s="1"/>
    </row>
    <row r="32" spans="1:7" x14ac:dyDescent="0.25">
      <c r="A32" s="1"/>
      <c r="B32" s="159" t="s">
        <v>143</v>
      </c>
      <c r="C32" s="160"/>
      <c r="D32" s="161"/>
      <c r="E32" s="74">
        <f>IF(AND(E9&gt;0,(E9+E24)&gt;0),0,IF(AND(E9&gt;0,(E9+E24)&lt;0),(E9+E24),IF(AND(E9&lt;0,E24&lt;0),E24,0)))</f>
        <v>0</v>
      </c>
      <c r="F32" s="14" t="s">
        <v>3</v>
      </c>
      <c r="G32" s="1"/>
    </row>
    <row r="33" spans="1:7" x14ac:dyDescent="0.25">
      <c r="A33" s="1"/>
      <c r="B33" s="159" t="s">
        <v>102</v>
      </c>
      <c r="C33" s="160"/>
      <c r="D33" s="161"/>
      <c r="E33" s="9">
        <v>4</v>
      </c>
      <c r="F33" s="14" t="s">
        <v>20</v>
      </c>
      <c r="G33" s="1"/>
    </row>
    <row r="34" spans="1:7" x14ac:dyDescent="0.25">
      <c r="A34" s="1"/>
      <c r="B34" s="155" t="s">
        <v>144</v>
      </c>
      <c r="C34" s="155"/>
      <c r="D34" s="155"/>
      <c r="E34" s="73">
        <f>E32/E33</f>
        <v>0</v>
      </c>
      <c r="F34" s="17" t="s">
        <v>3</v>
      </c>
      <c r="G34" s="1"/>
    </row>
    <row r="35" spans="1:7" x14ac:dyDescent="0.25">
      <c r="A35" s="1"/>
      <c r="B35" s="156"/>
      <c r="C35" s="157"/>
      <c r="D35" s="157"/>
      <c r="E35" s="157"/>
      <c r="F35" s="158"/>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49"/>
      <c r="B40" s="49"/>
      <c r="C40" s="49"/>
      <c r="D40" s="49"/>
      <c r="E40" s="49"/>
      <c r="F40" s="49"/>
      <c r="G40" s="49"/>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R+mclqwv8Fh2gTXQhDfTvm/Y7ineaDtwsfD9SHt0me55d1rzINdeMkhe6WOtuF3XjFu8x2zHst28fll/frKDbQ==" saltValue="MUvqUrSdxbmbvMl6aqjePw==" spinCount="100000" sheet="1" objects="1" scenarios="1"/>
  <mergeCells count="17">
    <mergeCell ref="B34:D34"/>
    <mergeCell ref="B35:F35"/>
    <mergeCell ref="B15:D15"/>
    <mergeCell ref="B16:D16"/>
    <mergeCell ref="B32:D32"/>
    <mergeCell ref="B29:F29"/>
    <mergeCell ref="B18:F18"/>
    <mergeCell ref="B27:F27"/>
    <mergeCell ref="B28:D28"/>
    <mergeCell ref="B31:F31"/>
    <mergeCell ref="B33:D33"/>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3" t="s">
        <v>250</v>
      </c>
      <c r="C3" s="123"/>
      <c r="D3" s="123"/>
      <c r="E3" s="123"/>
      <c r="F3" s="123"/>
      <c r="G3" s="123"/>
      <c r="H3" s="123"/>
      <c r="I3" s="1"/>
    </row>
    <row r="4" spans="1:9" ht="15" customHeight="1" x14ac:dyDescent="0.25">
      <c r="A4" s="1"/>
      <c r="B4" s="123"/>
      <c r="C4" s="123"/>
      <c r="D4" s="123"/>
      <c r="E4" s="123"/>
      <c r="F4" s="123"/>
      <c r="G4" s="123"/>
      <c r="H4" s="123"/>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270</v>
      </c>
      <c r="C8" s="132"/>
      <c r="D8" s="132"/>
      <c r="E8" s="132"/>
      <c r="F8" s="132"/>
      <c r="G8" s="132"/>
      <c r="H8" s="133"/>
      <c r="I8" s="1"/>
    </row>
    <row r="9" spans="1:9" ht="15" customHeight="1" x14ac:dyDescent="0.25">
      <c r="A9" s="1"/>
      <c r="B9" s="128" t="s">
        <v>251</v>
      </c>
      <c r="C9" s="129"/>
      <c r="D9" s="129"/>
      <c r="E9" s="129"/>
      <c r="F9" s="129"/>
      <c r="G9" s="129"/>
      <c r="H9" s="130"/>
      <c r="I9" s="1"/>
    </row>
    <row r="10" spans="1:9" x14ac:dyDescent="0.25">
      <c r="A10" s="1"/>
      <c r="B10" s="163" t="s">
        <v>252</v>
      </c>
      <c r="C10" s="164"/>
      <c r="D10" s="164"/>
      <c r="E10" s="164"/>
      <c r="F10" s="165"/>
      <c r="G10" s="9">
        <v>0</v>
      </c>
      <c r="H10" s="9" t="s">
        <v>3</v>
      </c>
      <c r="I10" s="1"/>
    </row>
    <row r="11" spans="1:9" x14ac:dyDescent="0.25">
      <c r="A11" s="1"/>
      <c r="B11" s="163" t="s">
        <v>253</v>
      </c>
      <c r="C11" s="164"/>
      <c r="D11" s="164"/>
      <c r="E11" s="164"/>
      <c r="F11" s="165"/>
      <c r="G11" s="9">
        <v>0</v>
      </c>
      <c r="H11" s="9" t="s">
        <v>3</v>
      </c>
      <c r="I11" s="1"/>
    </row>
    <row r="12" spans="1:9" x14ac:dyDescent="0.25">
      <c r="A12" s="1"/>
      <c r="B12" s="163" t="s">
        <v>254</v>
      </c>
      <c r="C12" s="164"/>
      <c r="D12" s="164"/>
      <c r="E12" s="164"/>
      <c r="F12" s="165"/>
      <c r="G12" s="9">
        <v>-887437</v>
      </c>
      <c r="H12" s="9" t="s">
        <v>3</v>
      </c>
      <c r="I12" s="1"/>
    </row>
    <row r="13" spans="1:9" x14ac:dyDescent="0.25">
      <c r="A13" s="1"/>
      <c r="B13" s="163" t="s">
        <v>255</v>
      </c>
      <c r="C13" s="164"/>
      <c r="D13" s="164"/>
      <c r="E13" s="164"/>
      <c r="F13" s="165"/>
      <c r="G13" s="9">
        <v>0</v>
      </c>
      <c r="H13" s="9" t="s">
        <v>3</v>
      </c>
      <c r="I13" s="1"/>
    </row>
    <row r="14" spans="1:9" x14ac:dyDescent="0.25">
      <c r="A14" s="1"/>
      <c r="B14" s="163" t="s">
        <v>256</v>
      </c>
      <c r="C14" s="164"/>
      <c r="D14" s="164"/>
      <c r="E14" s="164"/>
      <c r="F14" s="165"/>
      <c r="G14" s="9">
        <v>0</v>
      </c>
      <c r="H14" s="9" t="s">
        <v>3</v>
      </c>
      <c r="I14" s="1"/>
    </row>
    <row r="15" spans="1:9" x14ac:dyDescent="0.25">
      <c r="A15" s="1"/>
      <c r="B15" s="163" t="s">
        <v>257</v>
      </c>
      <c r="C15" s="164"/>
      <c r="D15" s="164"/>
      <c r="E15" s="164"/>
      <c r="F15" s="165"/>
      <c r="G15" s="9">
        <v>0</v>
      </c>
      <c r="H15" s="9" t="s">
        <v>3</v>
      </c>
      <c r="I15" s="1"/>
    </row>
    <row r="16" spans="1:9" x14ac:dyDescent="0.25">
      <c r="A16" s="1"/>
      <c r="B16" s="163" t="s">
        <v>258</v>
      </c>
      <c r="C16" s="164"/>
      <c r="D16" s="164"/>
      <c r="E16" s="164"/>
      <c r="F16" s="165"/>
      <c r="G16" s="9">
        <v>0</v>
      </c>
      <c r="H16" s="9" t="s">
        <v>3</v>
      </c>
      <c r="I16" s="1"/>
    </row>
    <row r="17" spans="1:9" x14ac:dyDescent="0.25">
      <c r="A17" s="1"/>
      <c r="B17" s="163" t="s">
        <v>259</v>
      </c>
      <c r="C17" s="164"/>
      <c r="D17" s="164"/>
      <c r="E17" s="164"/>
      <c r="F17" s="165"/>
      <c r="G17" s="9">
        <v>0</v>
      </c>
      <c r="H17" s="9" t="s">
        <v>3</v>
      </c>
      <c r="I17" s="1"/>
    </row>
    <row r="18" spans="1:9" x14ac:dyDescent="0.25">
      <c r="A18" s="1"/>
      <c r="B18" s="131" t="s">
        <v>260</v>
      </c>
      <c r="C18" s="132"/>
      <c r="D18" s="132"/>
      <c r="E18" s="132"/>
      <c r="F18" s="133"/>
      <c r="G18" s="12">
        <f>SUM(G10:G17)</f>
        <v>-887437</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HDGHlbOgv147hpgepYiF8tvFJOgB4ohMYRrLxJNz3SYA0fXgSLNL8wQ2eC8DTRzHX7X1n+NWp55D3yHoP8ocGw==" saltValue="oaVokNA5c7IBqhrSiNfQiA=="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9" t="s">
        <v>262</v>
      </c>
      <c r="C3" s="139"/>
      <c r="D3" s="139"/>
      <c r="E3" s="139"/>
      <c r="F3" s="139"/>
      <c r="G3" s="1"/>
    </row>
    <row r="4" spans="1:7" ht="1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208</v>
      </c>
      <c r="C9" s="132"/>
      <c r="D9" s="132"/>
      <c r="E9" s="132"/>
      <c r="F9" s="133"/>
      <c r="G9" s="1"/>
    </row>
    <row r="10" spans="1:7" x14ac:dyDescent="0.25">
      <c r="A10" s="1"/>
      <c r="B10" s="134" t="s">
        <v>100</v>
      </c>
      <c r="C10" s="135"/>
      <c r="D10" s="136"/>
      <c r="E10" s="7">
        <v>0</v>
      </c>
      <c r="F10" s="8" t="s">
        <v>3</v>
      </c>
      <c r="G10" s="1"/>
    </row>
    <row r="11" spans="1:7" x14ac:dyDescent="0.25">
      <c r="A11" s="1"/>
      <c r="B11" s="141" t="s">
        <v>209</v>
      </c>
      <c r="C11" s="142"/>
      <c r="D11" s="143"/>
      <c r="E11" s="7">
        <v>0</v>
      </c>
      <c r="F11" s="8" t="s">
        <v>3</v>
      </c>
      <c r="G11" s="1"/>
    </row>
    <row r="12" spans="1:7" x14ac:dyDescent="0.25">
      <c r="A12" s="1"/>
      <c r="B12" s="137" t="s">
        <v>101</v>
      </c>
      <c r="C12" s="138"/>
      <c r="D12" s="162"/>
      <c r="E12" s="10">
        <f>E11-E10</f>
        <v>0</v>
      </c>
      <c r="F12" s="11" t="s">
        <v>3</v>
      </c>
      <c r="G12" s="1"/>
    </row>
    <row r="13" spans="1:7" x14ac:dyDescent="0.25">
      <c r="A13" s="1"/>
      <c r="B13" s="131" t="s">
        <v>94</v>
      </c>
      <c r="C13" s="132"/>
      <c r="D13" s="132"/>
      <c r="E13" s="132"/>
      <c r="F13" s="133"/>
      <c r="G13" s="1"/>
    </row>
    <row r="14" spans="1:7" x14ac:dyDescent="0.25">
      <c r="A14" s="1"/>
      <c r="B14" s="141" t="s">
        <v>210</v>
      </c>
      <c r="C14" s="142"/>
      <c r="D14" s="143"/>
      <c r="E14" s="9">
        <v>80000</v>
      </c>
      <c r="F14" s="8" t="s">
        <v>3</v>
      </c>
      <c r="G14" s="1"/>
    </row>
    <row r="15" spans="1:7" x14ac:dyDescent="0.25">
      <c r="A15" s="1"/>
      <c r="B15" s="134" t="s">
        <v>211</v>
      </c>
      <c r="C15" s="135"/>
      <c r="D15" s="136"/>
      <c r="E15" s="9">
        <v>80000</v>
      </c>
      <c r="F15" s="8" t="s">
        <v>3</v>
      </c>
      <c r="G15" s="1"/>
    </row>
    <row r="16" spans="1:7" x14ac:dyDescent="0.25">
      <c r="A16" s="1"/>
      <c r="B16" s="137" t="s">
        <v>101</v>
      </c>
      <c r="C16" s="138"/>
      <c r="D16" s="162"/>
      <c r="E16" s="10">
        <f>E15-E14</f>
        <v>0</v>
      </c>
      <c r="F16" s="11" t="s">
        <v>3</v>
      </c>
      <c r="G16" s="1"/>
    </row>
    <row r="17" spans="1:7" x14ac:dyDescent="0.25">
      <c r="A17" s="1"/>
      <c r="B17" s="32" t="s">
        <v>212</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u+RPf8d7WAkHh7FrYYkX8DkvsgfKEQ8JWSHlyO7MCtxnDbP+0r7S5X14FSBgxY7gQLuYOXXK1d7kMg8GP3xpg==" saltValue="zaR11wPtEc0RLIZEEYp4M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3" t="s">
        <v>263</v>
      </c>
      <c r="C3" s="123"/>
      <c r="D3" s="123"/>
      <c r="E3" s="123"/>
      <c r="F3" s="123"/>
      <c r="G3" s="123"/>
      <c r="H3" s="123"/>
      <c r="I3" s="123"/>
      <c r="J3" s="123"/>
      <c r="K3" s="123"/>
      <c r="L3" s="1"/>
    </row>
    <row r="4" spans="1:12" ht="15" customHeight="1" x14ac:dyDescent="0.25">
      <c r="A4" s="1"/>
      <c r="B4" s="123"/>
      <c r="C4" s="123"/>
      <c r="D4" s="123"/>
      <c r="E4" s="123"/>
      <c r="F4" s="123"/>
      <c r="G4" s="123"/>
      <c r="H4" s="123"/>
      <c r="I4" s="123"/>
      <c r="J4" s="123"/>
      <c r="K4" s="12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219</v>
      </c>
      <c r="C8" s="132"/>
      <c r="D8" s="132"/>
      <c r="E8" s="132"/>
      <c r="F8" s="132"/>
      <c r="G8" s="132"/>
      <c r="H8" s="132"/>
      <c r="I8" s="132"/>
      <c r="J8" s="132"/>
      <c r="K8" s="133"/>
      <c r="L8" s="1"/>
    </row>
    <row r="9" spans="1:12" ht="39.75" customHeight="1" x14ac:dyDescent="0.25">
      <c r="A9" s="1"/>
      <c r="B9" s="18" t="s">
        <v>0</v>
      </c>
      <c r="C9" s="18" t="s">
        <v>1</v>
      </c>
      <c r="D9" s="166" t="s">
        <v>245</v>
      </c>
      <c r="E9" s="167"/>
      <c r="F9" s="166" t="s">
        <v>2</v>
      </c>
      <c r="G9" s="167"/>
      <c r="H9" s="166" t="s">
        <v>244</v>
      </c>
      <c r="I9" s="167"/>
      <c r="J9" s="166" t="s">
        <v>30</v>
      </c>
      <c r="K9" s="167"/>
      <c r="L9" s="1"/>
    </row>
    <row r="10" spans="1:12" x14ac:dyDescent="0.25">
      <c r="A10" s="1"/>
      <c r="B10" s="97" t="s">
        <v>279</v>
      </c>
      <c r="C10" s="41">
        <v>0</v>
      </c>
      <c r="D10" s="9">
        <v>0</v>
      </c>
      <c r="E10" s="14" t="s">
        <v>3</v>
      </c>
      <c r="F10" s="9">
        <f>IFERROR(D10/C10,0)</f>
        <v>0</v>
      </c>
      <c r="G10" s="14" t="s">
        <v>3</v>
      </c>
      <c r="H10" s="44">
        <v>0</v>
      </c>
      <c r="I10" s="14" t="s">
        <v>3</v>
      </c>
      <c r="J10" s="44">
        <v>0</v>
      </c>
      <c r="K10" s="14" t="s">
        <v>3</v>
      </c>
      <c r="L10" s="1"/>
    </row>
    <row r="11" spans="1:12" x14ac:dyDescent="0.25">
      <c r="A11" s="1"/>
      <c r="B11" s="85" t="s">
        <v>220</v>
      </c>
      <c r="C11" s="86"/>
      <c r="D11" s="87"/>
      <c r="E11" s="87"/>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wR1TC6/8YM9skAjM5T46gKMYV5PVc7v8egTqdaWHhoZSVPj81fRbOircO6by0C5k6L0e3VisvhLhaxFzHbXdNg==" saltValue="9gw5i3rvmC1Dxz89yYC5o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264</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3" t="s">
        <v>17</v>
      </c>
      <c r="C9" s="83" t="s">
        <v>11</v>
      </c>
      <c r="D9" s="84"/>
      <c r="E9" s="83"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277</v>
      </c>
      <c r="C11" s="21">
        <v>0</v>
      </c>
      <c r="D11" s="14" t="s">
        <v>3</v>
      </c>
      <c r="E11" s="9">
        <v>0</v>
      </c>
      <c r="F11" s="14" t="s">
        <v>3</v>
      </c>
      <c r="G11" s="1"/>
    </row>
    <row r="12" spans="1:7" x14ac:dyDescent="0.25">
      <c r="A12" s="1"/>
      <c r="B12" s="32" t="s">
        <v>156</v>
      </c>
      <c r="C12" s="12">
        <f>SUM(C10:C11)</f>
        <v>0</v>
      </c>
      <c r="D12" s="13" t="s">
        <v>3</v>
      </c>
      <c r="E12" s="12">
        <f>SUM(E10:E11)</f>
        <v>0</v>
      </c>
      <c r="F12" s="13" t="s">
        <v>3</v>
      </c>
      <c r="G12" s="1"/>
    </row>
    <row r="13" spans="1:7" x14ac:dyDescent="0.25">
      <c r="A13" s="1"/>
      <c r="B13" s="32" t="s">
        <v>213</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JVviJzU6v3B9U6wXIhl2FCIg/O0gmI4TYdDYrNDOxDgsDNFGvg9sWT2ItOpRX7ir4Q6WAw5CTZRSIab1NuER+g==" saltValue="+q3iUW3LDc3+Kgasbpo1/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265</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97</v>
      </c>
      <c r="C8" s="132"/>
      <c r="D8" s="132"/>
      <c r="E8" s="132"/>
      <c r="F8" s="133"/>
      <c r="G8" s="1"/>
    </row>
    <row r="9" spans="1:7" x14ac:dyDescent="0.25">
      <c r="A9" s="1"/>
      <c r="B9" s="83" t="s">
        <v>17</v>
      </c>
      <c r="C9" s="83" t="s">
        <v>11</v>
      </c>
      <c r="D9" s="84"/>
      <c r="E9" s="83" t="s">
        <v>31</v>
      </c>
      <c r="F9" s="31"/>
      <c r="G9" s="1"/>
    </row>
    <row r="10" spans="1:7" x14ac:dyDescent="0.25">
      <c r="A10" s="1"/>
      <c r="B10" s="23" t="s">
        <v>278</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8"/>
      <c r="C14" s="168"/>
      <c r="D14" s="168"/>
      <c r="E14" s="168"/>
      <c r="F14" s="168"/>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8"/>
      <c r="C28" s="168"/>
      <c r="D28" s="168"/>
      <c r="E28" s="168"/>
      <c r="F28" s="168"/>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uikVX9qd9WP2wDFQ99OGTJXSRTkM1cxVIgR4IbXcsLjpVkjjzQ5JyU7t2wxF7DxIWeoEn3OCrelAtDVOHmkD/g==" saltValue="KEKH46e+3zOZRmq9decQDw=="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266</v>
      </c>
      <c r="C3" s="139"/>
      <c r="D3" s="139"/>
      <c r="E3" s="139"/>
      <c r="F3" s="139"/>
      <c r="G3" s="1"/>
    </row>
    <row r="4" spans="1:7" ht="15" customHeight="1" x14ac:dyDescent="0.25">
      <c r="A4" s="1"/>
      <c r="B4" s="139"/>
      <c r="C4" s="139"/>
      <c r="D4" s="139"/>
      <c r="E4" s="139"/>
      <c r="F4" s="139"/>
      <c r="G4" s="1"/>
    </row>
    <row r="5" spans="1:7" x14ac:dyDescent="0.25">
      <c r="A5" s="1"/>
      <c r="B5" s="139"/>
      <c r="C5" s="139"/>
      <c r="D5" s="139"/>
      <c r="E5" s="139"/>
      <c r="F5" s="139"/>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91</v>
      </c>
      <c r="C9" s="132"/>
      <c r="D9" s="132"/>
      <c r="E9" s="132"/>
      <c r="F9" s="133"/>
      <c r="G9" s="1"/>
    </row>
    <row r="10" spans="1:7" x14ac:dyDescent="0.25">
      <c r="A10" s="1"/>
      <c r="B10" s="163" t="s">
        <v>224</v>
      </c>
      <c r="C10" s="164"/>
      <c r="D10" s="165"/>
      <c r="E10" s="9">
        <v>0</v>
      </c>
      <c r="F10" s="14" t="s">
        <v>3</v>
      </c>
      <c r="G10" s="1"/>
    </row>
    <row r="11" spans="1:7" x14ac:dyDescent="0.25">
      <c r="A11" s="1"/>
      <c r="B11" s="125" t="s">
        <v>10</v>
      </c>
      <c r="C11" s="126"/>
      <c r="D11" s="127"/>
      <c r="E11" s="9">
        <f>-E10*'Fane 5. Individuelt eff. krav'!G9</f>
        <v>0</v>
      </c>
      <c r="F11" s="14" t="s">
        <v>3</v>
      </c>
      <c r="G11" s="1"/>
    </row>
    <row r="12" spans="1:7" x14ac:dyDescent="0.25">
      <c r="A12" s="1"/>
      <c r="B12" s="125" t="s">
        <v>24</v>
      </c>
      <c r="C12" s="126"/>
      <c r="D12" s="127"/>
      <c r="E12" s="9">
        <f>-E10*'Fane 15. Nøgletal'!C31</f>
        <v>0</v>
      </c>
      <c r="F12" s="14" t="s">
        <v>3</v>
      </c>
      <c r="G12" s="1"/>
    </row>
    <row r="13" spans="1:7" x14ac:dyDescent="0.25">
      <c r="A13" s="1"/>
      <c r="B13" s="131" t="s">
        <v>92</v>
      </c>
      <c r="C13" s="132"/>
      <c r="D13" s="133"/>
      <c r="E13" s="12">
        <f>SUM(E10:E12)*(1+'Fane 15. Nøgletal'!C15)^2</f>
        <v>0</v>
      </c>
      <c r="F13" s="13" t="s">
        <v>3</v>
      </c>
      <c r="G13" s="1"/>
    </row>
    <row r="14" spans="1:7" x14ac:dyDescent="0.25">
      <c r="A14" s="1"/>
      <c r="B14" s="1"/>
      <c r="C14" s="1"/>
      <c r="D14" s="1"/>
      <c r="E14" s="1"/>
      <c r="F14" s="1"/>
      <c r="G14" s="1"/>
    </row>
    <row r="15" spans="1:7" ht="15" customHeight="1" x14ac:dyDescent="0.25">
      <c r="A15" s="1"/>
      <c r="B15" s="131" t="s">
        <v>130</v>
      </c>
      <c r="C15" s="132"/>
      <c r="D15" s="132"/>
      <c r="E15" s="132"/>
      <c r="F15" s="133"/>
      <c r="G15" s="1"/>
    </row>
    <row r="16" spans="1:7" x14ac:dyDescent="0.25">
      <c r="A16" s="1"/>
      <c r="B16" s="163" t="s">
        <v>224</v>
      </c>
      <c r="C16" s="164"/>
      <c r="D16" s="165"/>
      <c r="E16" s="9">
        <v>0</v>
      </c>
      <c r="F16" s="14" t="s">
        <v>3</v>
      </c>
      <c r="G16" s="1"/>
    </row>
    <row r="17" spans="1:7" x14ac:dyDescent="0.25">
      <c r="A17" s="1"/>
      <c r="B17" s="125" t="s">
        <v>10</v>
      </c>
      <c r="C17" s="126"/>
      <c r="D17" s="127"/>
      <c r="E17" s="9">
        <f>-E16*'Fane 5. Individuelt eff. krav'!G9</f>
        <v>0</v>
      </c>
      <c r="F17" s="14" t="s">
        <v>3</v>
      </c>
      <c r="G17" s="1"/>
    </row>
    <row r="18" spans="1:7" x14ac:dyDescent="0.25">
      <c r="A18" s="1"/>
      <c r="B18" s="125" t="s">
        <v>24</v>
      </c>
      <c r="C18" s="126"/>
      <c r="D18" s="127"/>
      <c r="E18" s="9">
        <f>-E16*'Fane 15. Nøgletal'!C31</f>
        <v>0</v>
      </c>
      <c r="F18" s="14" t="s">
        <v>3</v>
      </c>
      <c r="G18" s="1"/>
    </row>
    <row r="19" spans="1:7" x14ac:dyDescent="0.25">
      <c r="A19" s="1"/>
      <c r="B19" s="131" t="s">
        <v>131</v>
      </c>
      <c r="C19" s="132"/>
      <c r="D19" s="133"/>
      <c r="E19" s="12">
        <f>SUM(E16:E18)*(1+'Fane 15. Nøgletal'!C15)^3</f>
        <v>0</v>
      </c>
      <c r="F19" s="13" t="s">
        <v>3</v>
      </c>
      <c r="G19" s="1"/>
    </row>
    <row r="20" spans="1:7" x14ac:dyDescent="0.25">
      <c r="A20" s="1"/>
      <c r="B20" s="1"/>
      <c r="C20" s="1"/>
      <c r="D20" s="1"/>
      <c r="E20" s="1"/>
      <c r="F20" s="1"/>
      <c r="G20" s="1"/>
    </row>
    <row r="21" spans="1:7" ht="15" customHeight="1" x14ac:dyDescent="0.25">
      <c r="A21" s="1"/>
      <c r="B21" s="131" t="s">
        <v>157</v>
      </c>
      <c r="C21" s="132"/>
      <c r="D21" s="132"/>
      <c r="E21" s="132"/>
      <c r="F21" s="133"/>
      <c r="G21" s="1"/>
    </row>
    <row r="22" spans="1:7" x14ac:dyDescent="0.25">
      <c r="A22" s="1"/>
      <c r="B22" s="163" t="s">
        <v>224</v>
      </c>
      <c r="C22" s="164"/>
      <c r="D22" s="165"/>
      <c r="E22" s="9">
        <v>0</v>
      </c>
      <c r="F22" s="14" t="s">
        <v>3</v>
      </c>
      <c r="G22" s="1"/>
    </row>
    <row r="23" spans="1:7" x14ac:dyDescent="0.25">
      <c r="A23" s="1"/>
      <c r="B23" s="125" t="s">
        <v>10</v>
      </c>
      <c r="C23" s="126"/>
      <c r="D23" s="127"/>
      <c r="E23" s="9">
        <f>-E22*'Fane 5. Individuelt eff. krav'!G9</f>
        <v>0</v>
      </c>
      <c r="F23" s="14" t="s">
        <v>3</v>
      </c>
      <c r="G23" s="1"/>
    </row>
    <row r="24" spans="1:7" x14ac:dyDescent="0.25">
      <c r="A24" s="1"/>
      <c r="B24" s="125" t="s">
        <v>24</v>
      </c>
      <c r="C24" s="126"/>
      <c r="D24" s="127"/>
      <c r="E24" s="9">
        <f>-E22*'Fane 15. Nøgletal'!C31</f>
        <v>0</v>
      </c>
      <c r="F24" s="14" t="s">
        <v>3</v>
      </c>
      <c r="G24" s="1"/>
    </row>
    <row r="25" spans="1:7" x14ac:dyDescent="0.25">
      <c r="A25" s="1"/>
      <c r="B25" s="131" t="s">
        <v>158</v>
      </c>
      <c r="C25" s="132"/>
      <c r="D25" s="133"/>
      <c r="E25" s="12">
        <f>SUM(E22:E24)*(1+'Fane 15. Nøgletal'!C15)^4</f>
        <v>0</v>
      </c>
      <c r="F25" s="13" t="s">
        <v>3</v>
      </c>
      <c r="G25" s="1"/>
    </row>
    <row r="26" spans="1:7" x14ac:dyDescent="0.25">
      <c r="A26" s="1"/>
      <c r="B26" s="1"/>
      <c r="C26" s="1"/>
      <c r="D26" s="1"/>
      <c r="E26" s="1"/>
      <c r="F26" s="1"/>
      <c r="G26" s="1"/>
    </row>
    <row r="27" spans="1:7" ht="15" customHeight="1" x14ac:dyDescent="0.25">
      <c r="A27" s="1"/>
      <c r="B27" s="131" t="s">
        <v>214</v>
      </c>
      <c r="C27" s="132"/>
      <c r="D27" s="132"/>
      <c r="E27" s="132"/>
      <c r="F27" s="133"/>
      <c r="G27" s="1"/>
    </row>
    <row r="28" spans="1:7" ht="14.25" customHeight="1" x14ac:dyDescent="0.25">
      <c r="A28" s="1"/>
      <c r="B28" s="163" t="s">
        <v>224</v>
      </c>
      <c r="C28" s="164"/>
      <c r="D28" s="165"/>
      <c r="E28" s="9">
        <v>0</v>
      </c>
      <c r="F28" s="14" t="s">
        <v>3</v>
      </c>
      <c r="G28" s="1"/>
    </row>
    <row r="29" spans="1:7" x14ac:dyDescent="0.25">
      <c r="A29" s="1"/>
      <c r="B29" s="125" t="s">
        <v>10</v>
      </c>
      <c r="C29" s="126"/>
      <c r="D29" s="127"/>
      <c r="E29" s="9">
        <f>-E28*'Fane 5. Individuelt eff. krav'!G9</f>
        <v>0</v>
      </c>
      <c r="F29" s="14" t="s">
        <v>3</v>
      </c>
      <c r="G29" s="1"/>
    </row>
    <row r="30" spans="1:7" x14ac:dyDescent="0.25">
      <c r="A30" s="1"/>
      <c r="B30" s="125" t="s">
        <v>24</v>
      </c>
      <c r="C30" s="126"/>
      <c r="D30" s="127"/>
      <c r="E30" s="9">
        <f>-E28*'Fane 15. Nøgletal'!C31</f>
        <v>0</v>
      </c>
      <c r="F30" s="14" t="s">
        <v>3</v>
      </c>
      <c r="G30" s="1"/>
    </row>
    <row r="31" spans="1:7" x14ac:dyDescent="0.25">
      <c r="A31" s="1"/>
      <c r="B31" s="131" t="s">
        <v>215</v>
      </c>
      <c r="C31" s="132"/>
      <c r="D31" s="13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8Mcc8HSqBwZw1b7hIbnuf4V4aBcpa2itf2mCOzHAc+CBXn8CnPVKiNdotjyO439McJoSmVbtrDF4XlXx0TpJ/g==" saltValue="dZOFiuXrO1CvAccf57lz8A=="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85546875" style="2" customWidth="1"/>
    <col min="2" max="2" width="41.28515625" style="2" customWidth="1"/>
    <col min="3" max="3" width="15.5703125" style="2" customWidth="1"/>
    <col min="4" max="4" width="3.28515625" style="2" customWidth="1"/>
    <col min="5" max="5" width="17.140625" style="2" customWidth="1"/>
    <col min="6" max="6" width="3.28515625" style="2" customWidth="1"/>
    <col min="7" max="7" width="2.71093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267</v>
      </c>
      <c r="C3" s="139"/>
      <c r="D3" s="139"/>
      <c r="E3" s="139"/>
      <c r="F3" s="139"/>
      <c r="G3" s="1"/>
    </row>
    <row r="4" spans="1:7" ht="25.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132</v>
      </c>
      <c r="C8" s="132"/>
      <c r="D8" s="132"/>
      <c r="E8" s="132"/>
      <c r="F8" s="133"/>
      <c r="G8" s="1"/>
    </row>
    <row r="9" spans="1:7" ht="15" customHeight="1" x14ac:dyDescent="0.25">
      <c r="A9" s="1"/>
      <c r="B9" s="30" t="s">
        <v>133</v>
      </c>
      <c r="C9" s="30" t="s">
        <v>11</v>
      </c>
      <c r="D9" s="31"/>
      <c r="E9" s="30" t="s">
        <v>31</v>
      </c>
      <c r="F9" s="31"/>
      <c r="G9" s="1"/>
    </row>
    <row r="10" spans="1:7" x14ac:dyDescent="0.25">
      <c r="A10" s="1"/>
      <c r="B10" s="23" t="s">
        <v>280</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TrD6kpgN7+sraScrIHIgHqQr6Az8pxEF9DlqSmg5NdH6fo7hHe7fnMD6m4lZYgqu2SAcxZyIJx5XZikAgxOLig==" saltValue="35vb65+wasBQjGgx2YBE1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268</v>
      </c>
      <c r="C3" s="139"/>
      <c r="D3" s="139"/>
      <c r="E3" s="139"/>
      <c r="F3" s="139"/>
      <c r="G3" s="1"/>
    </row>
    <row r="4" spans="1:7" ht="25.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93</v>
      </c>
      <c r="C9" s="132"/>
      <c r="D9" s="132"/>
      <c r="E9" s="132"/>
      <c r="F9" s="133"/>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8"/>
      <c r="C15" s="168"/>
      <c r="D15" s="168"/>
      <c r="E15" s="168"/>
      <c r="F15" s="168"/>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8"/>
      <c r="C27" s="168"/>
      <c r="D27" s="168"/>
      <c r="E27" s="168"/>
      <c r="F27" s="168"/>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smZU4eGzKEhHVxC89CAdJZqDiTAjDeX9MSXkM0/F799+iAnbUGv3XnrwOiKYm1cCT/dYuvXv1U1HkuXhQ1v25w==" saltValue="FBIsC0tkVYk+N7TqYSwDUA=="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181</v>
      </c>
      <c r="C3" s="123"/>
      <c r="D3" s="123"/>
      <c r="E3" s="1"/>
    </row>
    <row r="4" spans="1:5" ht="15" customHeight="1" x14ac:dyDescent="0.25">
      <c r="A4" s="1"/>
      <c r="B4" s="123"/>
      <c r="C4" s="123"/>
      <c r="D4" s="12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69501259.105929628</v>
      </c>
      <c r="D9" s="8" t="s">
        <v>3</v>
      </c>
      <c r="E9" s="1"/>
    </row>
    <row r="10" spans="1:5" ht="17.25" customHeight="1" x14ac:dyDescent="0.25">
      <c r="A10" s="1"/>
      <c r="B10" s="82" t="s">
        <v>39</v>
      </c>
      <c r="C10" s="7">
        <f>'Fane 11.1. Varige tillæg'!C13</f>
        <v>0</v>
      </c>
      <c r="D10" s="8" t="s">
        <v>3</v>
      </c>
      <c r="E10" s="1"/>
    </row>
    <row r="11" spans="1:5" ht="17.25" customHeight="1" x14ac:dyDescent="0.25">
      <c r="A11" s="1"/>
      <c r="B11" s="82" t="s">
        <v>40</v>
      </c>
      <c r="C11" s="9">
        <f>'Fane 11.1. Varige tillæg'!E13</f>
        <v>0</v>
      </c>
      <c r="D11" s="8" t="s">
        <v>3</v>
      </c>
      <c r="E11" s="1"/>
    </row>
    <row r="12" spans="1:5" ht="17.25" customHeight="1" x14ac:dyDescent="0.25">
      <c r="A12" s="1"/>
      <c r="B12" s="82" t="s">
        <v>27</v>
      </c>
      <c r="C12" s="9">
        <f>-'Fane 14. Bortfald'!C13</f>
        <v>0</v>
      </c>
      <c r="D12" s="8" t="s">
        <v>3</v>
      </c>
      <c r="E12" s="1"/>
    </row>
    <row r="13" spans="1:5" ht="17.25" customHeight="1" x14ac:dyDescent="0.25">
      <c r="A13" s="1"/>
      <c r="B13" s="82" t="s">
        <v>26</v>
      </c>
      <c r="C13" s="9">
        <f>-'Fane 14. Bortfald'!E13</f>
        <v>0</v>
      </c>
      <c r="D13" s="8" t="s">
        <v>3</v>
      </c>
      <c r="E13" s="1"/>
    </row>
    <row r="14" spans="1:5" ht="17.25" customHeight="1" x14ac:dyDescent="0.25">
      <c r="A14" s="1"/>
      <c r="B14" s="82" t="s">
        <v>124</v>
      </c>
      <c r="C14" s="9">
        <f>'Fane 13. Tilknyttet virksomhed'!C12</f>
        <v>0</v>
      </c>
      <c r="D14" s="8" t="s">
        <v>3</v>
      </c>
      <c r="E14" s="1"/>
    </row>
    <row r="15" spans="1:5" ht="17.25" customHeight="1" x14ac:dyDescent="0.25">
      <c r="A15" s="1"/>
      <c r="B15" s="82" t="s">
        <v>125</v>
      </c>
      <c r="C15" s="9">
        <f>'Fane 13. Tilknyttet virksomhed'!E12</f>
        <v>0</v>
      </c>
      <c r="D15" s="8" t="s">
        <v>3</v>
      </c>
      <c r="E15" s="1"/>
    </row>
    <row r="16" spans="1:5" ht="17.25" customHeight="1" x14ac:dyDescent="0.25">
      <c r="A16" s="1"/>
      <c r="B16" s="82" t="s">
        <v>19</v>
      </c>
      <c r="C16" s="44">
        <f>SUM(C9)*'Fane 15. Nøgletal'!C14+SUM(C10:C15)*'Fane 15. Nøgletal'!C15</f>
        <v>229354.15504956778</v>
      </c>
      <c r="D16" s="8" t="s">
        <v>3</v>
      </c>
      <c r="E16" s="1"/>
    </row>
    <row r="17" spans="1:5" ht="17.25" customHeight="1" x14ac:dyDescent="0.25">
      <c r="A17" s="1"/>
      <c r="B17" s="82" t="s">
        <v>10</v>
      </c>
      <c r="C17" s="44">
        <f>-SUM(C9,C10:C16)*'Fane 5. Individuelt eff. krav'!G9</f>
        <v>0</v>
      </c>
      <c r="D17" s="8" t="s">
        <v>3</v>
      </c>
      <c r="E17" s="1"/>
    </row>
    <row r="18" spans="1:5" ht="17.25" customHeight="1" x14ac:dyDescent="0.25">
      <c r="A18" s="1"/>
      <c r="B18" s="82" t="s">
        <v>24</v>
      </c>
      <c r="C18" s="44">
        <f>-'Fane 4.1. Gen. krav - drift'!G45</f>
        <v>-434810.22283812636</v>
      </c>
      <c r="D18" s="8" t="s">
        <v>3</v>
      </c>
      <c r="E18" s="1"/>
    </row>
    <row r="19" spans="1:5" ht="17.25" customHeight="1" x14ac:dyDescent="0.25">
      <c r="A19" s="1"/>
      <c r="B19" s="82" t="s">
        <v>25</v>
      </c>
      <c r="C19" s="44">
        <f>-'Fane 4.2. Gen. krav - anlæg'!G43</f>
        <v>-737120.69670236879</v>
      </c>
      <c r="D19" s="8" t="s">
        <v>3</v>
      </c>
      <c r="E19" s="48"/>
    </row>
    <row r="20" spans="1:5" ht="17.25" customHeight="1" x14ac:dyDescent="0.25">
      <c r="A20" s="1"/>
      <c r="B20" s="88" t="s">
        <v>21</v>
      </c>
      <c r="C20" s="10">
        <f>SUM(C9:C19)</f>
        <v>68558682.341438681</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omk.'!C14+'Fane 6. Ikke-påvirkelige omk.'!C18+'Fane 6. Ikke-påvirkelige omk.'!C26</f>
        <v>1537652.2223347202</v>
      </c>
      <c r="D22" s="11" t="s">
        <v>3</v>
      </c>
      <c r="E22" s="1"/>
    </row>
    <row r="23" spans="1:5" ht="15" customHeight="1" x14ac:dyDescent="0.25">
      <c r="A23" s="1"/>
      <c r="B23" s="32" t="s">
        <v>86</v>
      </c>
      <c r="C23" s="27"/>
      <c r="D23" s="19"/>
      <c r="E23" s="1"/>
    </row>
    <row r="24" spans="1:5" ht="15" customHeight="1" x14ac:dyDescent="0.25">
      <c r="A24" s="1"/>
      <c r="B24" s="88"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2" t="s">
        <v>231</v>
      </c>
      <c r="C26" s="75">
        <f>'Fane 11.2. Engangstillæg'!C12</f>
        <v>0</v>
      </c>
      <c r="D26" s="8" t="s">
        <v>3</v>
      </c>
      <c r="E26" s="1"/>
    </row>
    <row r="27" spans="1:5" ht="15" customHeight="1" x14ac:dyDescent="0.25">
      <c r="A27" s="1"/>
      <c r="B27" s="82" t="s">
        <v>82</v>
      </c>
      <c r="C27" s="75">
        <f>'Fane 11.2. Engangstillæg'!E12</f>
        <v>0</v>
      </c>
      <c r="D27" s="8" t="s">
        <v>3</v>
      </c>
      <c r="E27" s="1"/>
    </row>
    <row r="28" spans="1:5" ht="15" customHeight="1" x14ac:dyDescent="0.25">
      <c r="A28" s="1"/>
      <c r="B28" s="82" t="s">
        <v>238</v>
      </c>
      <c r="C28" s="75">
        <f>-C26*('Fane 15. Nøgletal'!C31+'Fane 5. Individuelt eff. krav'!G9)</f>
        <v>0</v>
      </c>
      <c r="D28" s="8" t="s">
        <v>3</v>
      </c>
      <c r="E28" s="1"/>
    </row>
    <row r="29" spans="1:5" ht="15" customHeight="1" x14ac:dyDescent="0.25">
      <c r="A29" s="1"/>
      <c r="B29" s="82" t="s">
        <v>239</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0</v>
      </c>
      <c r="D34" s="11" t="s">
        <v>3</v>
      </c>
      <c r="E34" s="1"/>
    </row>
    <row r="35" spans="1:5" x14ac:dyDescent="0.25">
      <c r="A35" s="1"/>
      <c r="B35" s="29" t="s">
        <v>175</v>
      </c>
      <c r="C35" s="27"/>
      <c r="D35" s="19"/>
      <c r="E35" s="1"/>
    </row>
    <row r="36" spans="1:5" x14ac:dyDescent="0.25">
      <c r="A36" s="1"/>
      <c r="B36" s="95" t="s">
        <v>176</v>
      </c>
      <c r="C36" s="10">
        <f>'Fane 8. Skattesagen'!G12</f>
        <v>-887437</v>
      </c>
      <c r="D36" s="11" t="s">
        <v>3</v>
      </c>
      <c r="E36" s="1"/>
    </row>
    <row r="37" spans="1:5" x14ac:dyDescent="0.25">
      <c r="A37" s="1"/>
      <c r="B37" s="32" t="s">
        <v>90</v>
      </c>
      <c r="C37" s="57">
        <f>SUM(C34,C32,C24,C30,C22,C20,C36)</f>
        <v>69208897.563773394</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rMyzy5BpIgkrYZi8BkATND47PWJuIrahE3rYP4ht8Hkv068SZormz0KGatbKKapRmgEXyiOZtxIZp4f+1y3Yqw==" saltValue="rlU6RikcaZ/7dJbP8Bk/5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9" t="s">
        <v>269</v>
      </c>
      <c r="C3" s="139"/>
      <c r="D3" s="1"/>
    </row>
    <row r="4" spans="1:4" ht="25.5" customHeight="1" x14ac:dyDescent="0.25">
      <c r="A4" s="1"/>
      <c r="B4" s="139"/>
      <c r="C4" s="139"/>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PSD7Xsvzpq1kBju7J9xv1xy3dLBi95kdFf1ii+Wo78to1llivRylCgQ/J/6Q19b0zOmRe4x3sHKAwjBiI58Yww==" saltValue="Cjw5Yzg33ehUkNgQDbypT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186</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68558682.341438681</v>
      </c>
      <c r="D9" s="8" t="s">
        <v>3</v>
      </c>
      <c r="E9" s="1"/>
    </row>
    <row r="10" spans="1:5" ht="15" customHeight="1" x14ac:dyDescent="0.25">
      <c r="A10" s="1"/>
      <c r="B10" s="25" t="s">
        <v>19</v>
      </c>
      <c r="C10" s="7">
        <f>SUM(C9:C9)*'Fane 15. Nøgletal'!C15</f>
        <v>2440689.0913552172</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drift'!G53</f>
        <v>-441283.67743574036</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70558087.75535816</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Nøgletal'!C15)+'Fane 6. Ikke-påvirkelige omk.'!C26+'Fane 6. Ikke-påvirkelige omk.'!C34</f>
        <v>1592392.6414498363</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72150480.396807998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J1ti1YzIaBcHFnudhZSlw41/Jz/zs4FChdk96HauZK03B4et40XgsXk6NGrTswS0rI1syyeBDAjTYM7zo35G8w==" saltValue="vRJF7OKXAfa6BmoV+bKK+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187</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70558087.75535816</v>
      </c>
      <c r="D9" s="8" t="s">
        <v>3</v>
      </c>
      <c r="E9" s="1"/>
    </row>
    <row r="10" spans="1:5" ht="15" customHeight="1" x14ac:dyDescent="0.25">
      <c r="A10" s="1"/>
      <c r="B10" s="25" t="s">
        <v>19</v>
      </c>
      <c r="C10" s="7">
        <f>SUM(C9:C9)*'Fane 15. Nøgletal'!C15</f>
        <v>2511867.9240907505</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drift'!G58</f>
        <v>-447853.5088254037</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72622102.170623496</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Nøgletal'!C15)^2+'Fane 6. Ikke-påvirkelige omk.'!C20+'Fane 6. Ikke-påvirkelige omk.'!C28</f>
        <v>1649081.8194854506</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74271183.990108952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YAy6SYnoABo/f1NOV4D9vZnAGC9RnrezF/BbSoZ/bOue58uJY7jmAQTEI0KSDRes0yn9JZ0w4J880qpOMSWUbA==" saltValue="hEw1qJVYK2Qd/7UiESCHC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188</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72622102.170623496</v>
      </c>
      <c r="D9" s="8" t="s">
        <v>3</v>
      </c>
      <c r="E9" s="1"/>
    </row>
    <row r="10" spans="1:5" ht="15" customHeight="1" x14ac:dyDescent="0.25">
      <c r="A10" s="1"/>
      <c r="B10" s="25" t="s">
        <v>19</v>
      </c>
      <c r="C10" s="7">
        <f>SUM(C9:C9)*'Fane 15. Nøgletal'!C15</f>
        <v>2585346.8372741966</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drift'!G63</f>
        <v>-454521.15186479635</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74752927.856032893</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Nøgletal'!C15)^3+'Fane 6. Ikke-påvirkelige omk.'!C21+'Fane 6. Ikke-påvirkelige omk.'!C29</f>
        <v>1707789.1322591328</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76460716.988292024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KhVbXhpLaHoV0/lWwC2mbQ6/S5uEzuprRLczn/DHqZ99xT3C3VRoVkTU6Z/gElosOmBXr22vlhk8g3MW/HNxlw==" saltValue="m2lcpUmCUVvFR2qGRN1nY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191</v>
      </c>
      <c r="C3" s="139"/>
      <c r="D3" s="139"/>
      <c r="E3" s="139"/>
      <c r="F3" s="139"/>
      <c r="G3" s="1"/>
    </row>
    <row r="4" spans="1:7" ht="29.2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285</v>
      </c>
      <c r="C8" s="27"/>
      <c r="D8" s="27"/>
      <c r="E8" s="27"/>
      <c r="F8" s="19"/>
      <c r="G8" s="1"/>
    </row>
    <row r="9" spans="1:7" ht="15" customHeight="1" x14ac:dyDescent="0.25">
      <c r="A9" s="1"/>
      <c r="B9" s="134" t="s">
        <v>192</v>
      </c>
      <c r="C9" s="135"/>
      <c r="D9" s="136"/>
      <c r="E9" s="7">
        <v>70456709.572508812</v>
      </c>
      <c r="F9" s="8" t="s">
        <v>3</v>
      </c>
      <c r="G9" s="1"/>
    </row>
    <row r="10" spans="1:7" ht="15" customHeight="1" x14ac:dyDescent="0.25">
      <c r="A10" s="1"/>
      <c r="B10" s="125" t="s">
        <v>39</v>
      </c>
      <c r="C10" s="126"/>
      <c r="D10" s="127"/>
      <c r="E10" s="7">
        <v>0</v>
      </c>
      <c r="F10" s="8" t="s">
        <v>3</v>
      </c>
      <c r="G10" s="1"/>
    </row>
    <row r="11" spans="1:7" ht="15" customHeight="1" x14ac:dyDescent="0.25">
      <c r="A11" s="1"/>
      <c r="B11" s="125" t="s">
        <v>40</v>
      </c>
      <c r="C11" s="126"/>
      <c r="D11" s="127"/>
      <c r="E11" s="9">
        <v>0</v>
      </c>
      <c r="F11" s="8" t="s">
        <v>3</v>
      </c>
      <c r="G11" s="1"/>
    </row>
    <row r="12" spans="1:7" ht="15" customHeight="1" x14ac:dyDescent="0.25">
      <c r="A12" s="1"/>
      <c r="B12" s="125" t="s">
        <v>27</v>
      </c>
      <c r="C12" s="126"/>
      <c r="D12" s="127"/>
      <c r="E12" s="9">
        <v>0</v>
      </c>
      <c r="F12" s="8" t="s">
        <v>3</v>
      </c>
      <c r="G12" s="1"/>
    </row>
    <row r="13" spans="1:7" ht="15" customHeight="1" x14ac:dyDescent="0.25">
      <c r="A13" s="1"/>
      <c r="B13" s="134" t="s">
        <v>26</v>
      </c>
      <c r="C13" s="135"/>
      <c r="D13" s="136"/>
      <c r="E13" s="9">
        <v>0</v>
      </c>
      <c r="F13" s="8" t="s">
        <v>3</v>
      </c>
      <c r="G13" s="1"/>
    </row>
    <row r="14" spans="1:7" ht="15" customHeight="1" x14ac:dyDescent="0.25">
      <c r="A14" s="1"/>
      <c r="B14" s="134" t="s">
        <v>29</v>
      </c>
      <c r="C14" s="135"/>
      <c r="D14" s="136"/>
      <c r="E14" s="9">
        <v>0</v>
      </c>
      <c r="F14" s="8" t="s">
        <v>3</v>
      </c>
      <c r="G14" s="1"/>
    </row>
    <row r="15" spans="1:7" ht="15" customHeight="1" x14ac:dyDescent="0.25">
      <c r="A15" s="1"/>
      <c r="B15" s="134" t="s">
        <v>28</v>
      </c>
      <c r="C15" s="135"/>
      <c r="D15" s="136"/>
      <c r="E15" s="9">
        <v>0</v>
      </c>
      <c r="F15" s="8" t="s">
        <v>3</v>
      </c>
      <c r="G15" s="1"/>
    </row>
    <row r="16" spans="1:7" ht="15" customHeight="1" x14ac:dyDescent="0.25">
      <c r="A16" s="1"/>
      <c r="B16" s="134" t="s">
        <v>19</v>
      </c>
      <c r="C16" s="135"/>
      <c r="D16" s="136"/>
      <c r="E16" s="9">
        <f>SUM(E9:E15)*'Fane 15. Nøgletal'!C14</f>
        <v>232507.14158927908</v>
      </c>
      <c r="F16" s="8" t="s">
        <v>3</v>
      </c>
      <c r="G16" s="1"/>
    </row>
    <row r="17" spans="1:7" ht="15" customHeight="1" x14ac:dyDescent="0.25">
      <c r="A17" s="1"/>
      <c r="B17" s="134" t="s">
        <v>10</v>
      </c>
      <c r="C17" s="135"/>
      <c r="D17" s="136"/>
      <c r="E17" s="9">
        <v>0</v>
      </c>
      <c r="F17" s="8" t="s">
        <v>3</v>
      </c>
      <c r="G17" s="1"/>
    </row>
    <row r="18" spans="1:7" ht="15" customHeight="1" x14ac:dyDescent="0.25">
      <c r="A18" s="1"/>
      <c r="B18" s="134" t="s">
        <v>24</v>
      </c>
      <c r="C18" s="135"/>
      <c r="D18" s="136"/>
      <c r="E18" s="9">
        <f>-'Fane 4.1. Gen. krav - drift'!G39</f>
        <v>-442224.55980786495</v>
      </c>
      <c r="F18" s="8" t="s">
        <v>3</v>
      </c>
      <c r="G18" s="1"/>
    </row>
    <row r="19" spans="1:7" ht="15" customHeight="1" x14ac:dyDescent="0.25">
      <c r="A19" s="1"/>
      <c r="B19" s="134" t="s">
        <v>25</v>
      </c>
      <c r="C19" s="135"/>
      <c r="D19" s="136"/>
      <c r="E19" s="9">
        <f>-'Fane 4.2. Gen. krav - anlæg'!G37</f>
        <v>-745733.04836059758</v>
      </c>
      <c r="F19" s="8" t="s">
        <v>3</v>
      </c>
      <c r="G19" s="1"/>
    </row>
    <row r="20" spans="1:7" ht="15" customHeight="1" x14ac:dyDescent="0.25">
      <c r="A20" s="1"/>
      <c r="B20" s="54" t="s">
        <v>21</v>
      </c>
      <c r="C20" s="99"/>
      <c r="D20" s="101"/>
      <c r="E20" s="51">
        <f>SUM(E9:E19)</f>
        <v>69501259.105929628</v>
      </c>
      <c r="F20" s="53" t="s">
        <v>3</v>
      </c>
      <c r="G20" s="1"/>
    </row>
    <row r="21" spans="1:7" ht="15" customHeight="1" x14ac:dyDescent="0.25">
      <c r="A21" s="1"/>
      <c r="B21" s="32" t="s">
        <v>12</v>
      </c>
      <c r="C21" s="27"/>
      <c r="D21" s="27"/>
      <c r="E21" s="27"/>
      <c r="F21" s="19"/>
      <c r="G21" s="1"/>
    </row>
    <row r="22" spans="1:7" ht="15" customHeight="1" x14ac:dyDescent="0.25">
      <c r="A22" s="1"/>
      <c r="B22" s="128" t="s">
        <v>12</v>
      </c>
      <c r="C22" s="129"/>
      <c r="D22" s="130"/>
      <c r="E22" s="10">
        <v>1521624.8323897303</v>
      </c>
      <c r="F22" s="11" t="s">
        <v>3</v>
      </c>
      <c r="G22" s="1"/>
    </row>
    <row r="23" spans="1:7" ht="15" customHeight="1" x14ac:dyDescent="0.25">
      <c r="A23" s="1"/>
      <c r="B23" s="131" t="s">
        <v>86</v>
      </c>
      <c r="C23" s="132"/>
      <c r="D23" s="133"/>
      <c r="E23" s="27"/>
      <c r="F23" s="19"/>
      <c r="G23" s="1"/>
    </row>
    <row r="24" spans="1:7" ht="15" customHeight="1" x14ac:dyDescent="0.25">
      <c r="A24" s="1"/>
      <c r="B24" s="98"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5" t="s">
        <v>81</v>
      </c>
      <c r="C26" s="126"/>
      <c r="D26" s="127"/>
      <c r="E26" s="9">
        <v>0</v>
      </c>
      <c r="F26" s="8" t="s">
        <v>3</v>
      </c>
      <c r="G26" s="1"/>
    </row>
    <row r="27" spans="1:7" ht="15" customHeight="1" x14ac:dyDescent="0.25">
      <c r="A27" s="1"/>
      <c r="B27" s="125" t="s">
        <v>82</v>
      </c>
      <c r="C27" s="126"/>
      <c r="D27" s="126"/>
      <c r="E27" s="9">
        <v>0</v>
      </c>
      <c r="F27" s="8" t="s">
        <v>3</v>
      </c>
      <c r="G27" s="1"/>
    </row>
    <row r="28" spans="1:7" ht="15" customHeight="1" x14ac:dyDescent="0.25">
      <c r="A28" s="1"/>
      <c r="B28" s="137" t="s">
        <v>87</v>
      </c>
      <c r="C28" s="138"/>
      <c r="D28" s="138"/>
      <c r="E28" s="39">
        <v>0</v>
      </c>
      <c r="F28" s="11" t="s">
        <v>3</v>
      </c>
      <c r="G28" s="1"/>
    </row>
    <row r="29" spans="1:7" ht="15" customHeight="1" x14ac:dyDescent="0.25">
      <c r="A29" s="1"/>
      <c r="B29" s="32" t="s">
        <v>143</v>
      </c>
      <c r="C29" s="32"/>
      <c r="D29" s="32"/>
      <c r="E29" s="27"/>
      <c r="F29" s="19"/>
      <c r="G29" s="1"/>
    </row>
    <row r="30" spans="1:7" ht="15" customHeight="1" x14ac:dyDescent="0.25">
      <c r="A30" s="1"/>
      <c r="B30" s="128" t="s">
        <v>142</v>
      </c>
      <c r="C30" s="129"/>
      <c r="D30" s="129"/>
      <c r="E30" s="39">
        <v>0</v>
      </c>
      <c r="F30" s="11" t="s">
        <v>3</v>
      </c>
      <c r="G30" s="1"/>
    </row>
    <row r="31" spans="1:7" x14ac:dyDescent="0.25">
      <c r="A31" s="1"/>
      <c r="B31" s="32" t="s">
        <v>123</v>
      </c>
      <c r="C31" s="27"/>
      <c r="D31" s="27"/>
      <c r="E31" s="27"/>
      <c r="F31" s="19"/>
      <c r="G31" s="1"/>
    </row>
    <row r="32" spans="1:7" ht="15.4" customHeight="1" x14ac:dyDescent="0.25">
      <c r="A32" s="1"/>
      <c r="B32" s="128" t="s">
        <v>123</v>
      </c>
      <c r="C32" s="129"/>
      <c r="D32" s="130"/>
      <c r="E32" s="10">
        <v>0</v>
      </c>
      <c r="F32" s="11" t="s">
        <v>3</v>
      </c>
      <c r="G32" s="1"/>
    </row>
    <row r="33" spans="1:7" ht="15.4" customHeight="1" x14ac:dyDescent="0.25">
      <c r="A33" s="1"/>
      <c r="B33" s="131" t="s">
        <v>175</v>
      </c>
      <c r="C33" s="132"/>
      <c r="D33" s="132"/>
      <c r="E33" s="132"/>
      <c r="F33" s="133"/>
      <c r="G33" s="1"/>
    </row>
    <row r="34" spans="1:7" ht="15.4" customHeight="1" x14ac:dyDescent="0.25">
      <c r="A34" s="1"/>
      <c r="B34" s="100" t="s">
        <v>176</v>
      </c>
      <c r="C34" s="10"/>
      <c r="D34" s="11"/>
      <c r="E34" s="10">
        <f>'Fane 8. Skattesagen'!G11</f>
        <v>0</v>
      </c>
      <c r="F34" s="11" t="s">
        <v>3</v>
      </c>
      <c r="G34" s="1"/>
    </row>
    <row r="35" spans="1:7" x14ac:dyDescent="0.25">
      <c r="A35" s="1"/>
      <c r="B35" s="55" t="s">
        <v>218</v>
      </c>
      <c r="C35" s="56"/>
      <c r="D35" s="19"/>
      <c r="E35" s="45">
        <f>SUM(E32,E30,E28,E24,E22,E20,E34)</f>
        <v>71022883.938319355</v>
      </c>
      <c r="F35" s="52" t="s">
        <v>3</v>
      </c>
      <c r="G35" s="1"/>
    </row>
    <row r="36" spans="1:7" ht="27" customHeight="1" x14ac:dyDescent="0.25">
      <c r="A36" s="1"/>
      <c r="B36" s="134" t="s">
        <v>222</v>
      </c>
      <c r="C36" s="135"/>
      <c r="D36" s="135"/>
      <c r="E36" s="135"/>
      <c r="F36" s="1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oWgaONjfASKCwYvsUNspxfih3aJF+eS3Qwo449taPGePY4Npg8mOG7ajLFJi97EZbSxjKRLBUn7XDRSYuafmfw==" saltValue="rlRBn6xWz7U5q0+t3JNoZQ=="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1.7109375" style="2" customWidth="1"/>
    <col min="2" max="5" width="9.140625" style="2"/>
    <col min="6" max="6" width="26.5703125" style="2" customWidth="1"/>
    <col min="7" max="7" width="16.28515625" style="2" customWidth="1"/>
    <col min="8" max="8" width="3.42578125" style="2" customWidth="1"/>
    <col min="9" max="9" width="1.4257812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9" t="s">
        <v>109</v>
      </c>
      <c r="C2" s="139"/>
      <c r="D2" s="139"/>
      <c r="E2" s="139"/>
      <c r="F2" s="139"/>
      <c r="G2" s="139"/>
      <c r="H2" s="139"/>
      <c r="I2" s="1"/>
    </row>
    <row r="3" spans="1:9" ht="28.5" customHeight="1" x14ac:dyDescent="0.25">
      <c r="A3" s="1"/>
      <c r="B3" s="139"/>
      <c r="C3" s="139"/>
      <c r="D3" s="139"/>
      <c r="E3" s="139"/>
      <c r="F3" s="139"/>
      <c r="G3" s="139"/>
      <c r="H3" s="139"/>
      <c r="I3" s="1"/>
    </row>
    <row r="4" spans="1:9" x14ac:dyDescent="0.25">
      <c r="A4" s="1"/>
      <c r="B4" s="131" t="s">
        <v>52</v>
      </c>
      <c r="C4" s="132"/>
      <c r="D4" s="132"/>
      <c r="E4" s="132"/>
      <c r="F4" s="132"/>
      <c r="G4" s="132"/>
      <c r="H4" s="133"/>
      <c r="I4" s="1"/>
    </row>
    <row r="5" spans="1:9" x14ac:dyDescent="0.25">
      <c r="A5" s="1"/>
      <c r="B5" s="141" t="s">
        <v>41</v>
      </c>
      <c r="C5" s="142"/>
      <c r="D5" s="142"/>
      <c r="E5" s="142"/>
      <c r="F5" s="143"/>
      <c r="G5" s="76">
        <v>22648424.557844065</v>
      </c>
      <c r="H5" s="14" t="s">
        <v>3</v>
      </c>
      <c r="I5" s="1"/>
    </row>
    <row r="6" spans="1:9" x14ac:dyDescent="0.25">
      <c r="A6" s="1"/>
      <c r="B6" s="134" t="s">
        <v>120</v>
      </c>
      <c r="C6" s="135"/>
      <c r="D6" s="135"/>
      <c r="E6" s="135"/>
      <c r="F6" s="136"/>
      <c r="G6" s="77">
        <v>0</v>
      </c>
      <c r="H6" s="14" t="s">
        <v>3</v>
      </c>
      <c r="I6" s="1"/>
    </row>
    <row r="7" spans="1:9" x14ac:dyDescent="0.25">
      <c r="A7" s="1"/>
      <c r="B7" s="141" t="s">
        <v>42</v>
      </c>
      <c r="C7" s="142"/>
      <c r="D7" s="142"/>
      <c r="E7" s="142"/>
      <c r="F7" s="143"/>
      <c r="G7" s="76">
        <f>SUM(G5:G6)*'Fane 15. Nøgletal'!C31</f>
        <v>452968.49115688133</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1" t="s">
        <v>53</v>
      </c>
      <c r="C10" s="132"/>
      <c r="D10" s="132"/>
      <c r="E10" s="132"/>
      <c r="F10" s="132"/>
      <c r="G10" s="140"/>
      <c r="H10" s="133"/>
      <c r="I10" s="1"/>
    </row>
    <row r="11" spans="1:9" x14ac:dyDescent="0.25">
      <c r="A11" s="1"/>
      <c r="B11" s="141" t="s">
        <v>43</v>
      </c>
      <c r="C11" s="142"/>
      <c r="D11" s="142"/>
      <c r="E11" s="142"/>
      <c r="F11" s="143"/>
      <c r="G11" s="76">
        <f>(G5-G7)*(1+'Fane 15. Nøgletal'!C10)</f>
        <v>22583876.547854211</v>
      </c>
      <c r="H11" s="14" t="s">
        <v>3</v>
      </c>
      <c r="I11" s="1"/>
    </row>
    <row r="12" spans="1:9" ht="15" customHeight="1" x14ac:dyDescent="0.25">
      <c r="A12" s="1"/>
      <c r="B12" s="141" t="s">
        <v>121</v>
      </c>
      <c r="C12" s="142"/>
      <c r="D12" s="142"/>
      <c r="E12" s="142"/>
      <c r="F12" s="143"/>
      <c r="G12" s="77">
        <v>0</v>
      </c>
      <c r="H12" s="14" t="s">
        <v>3</v>
      </c>
      <c r="I12" s="1"/>
    </row>
    <row r="13" spans="1:9" x14ac:dyDescent="0.25">
      <c r="A13" s="1"/>
      <c r="B13" s="134" t="s">
        <v>118</v>
      </c>
      <c r="C13" s="135"/>
      <c r="D13" s="135"/>
      <c r="E13" s="135"/>
      <c r="F13" s="136"/>
      <c r="G13" s="77">
        <v>0</v>
      </c>
      <c r="H13" s="14" t="s">
        <v>3</v>
      </c>
      <c r="I13" s="1"/>
    </row>
    <row r="14" spans="1:9" x14ac:dyDescent="0.25">
      <c r="A14" s="1"/>
      <c r="B14" s="144" t="s">
        <v>44</v>
      </c>
      <c r="C14" s="145"/>
      <c r="D14" s="145"/>
      <c r="E14" s="145"/>
      <c r="F14" s="146"/>
      <c r="G14" s="77">
        <v>0</v>
      </c>
      <c r="H14" s="14" t="s">
        <v>3</v>
      </c>
      <c r="I14" s="1"/>
    </row>
    <row r="15" spans="1:9" x14ac:dyDescent="0.25">
      <c r="A15" s="1"/>
      <c r="B15" s="141" t="s">
        <v>45</v>
      </c>
      <c r="C15" s="142"/>
      <c r="D15" s="142"/>
      <c r="E15" s="142"/>
      <c r="F15" s="143"/>
      <c r="G15" s="76">
        <f>SUM(G11:G14)*'Fane 15. Nøgletal'!C31</f>
        <v>451677.53095708421</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1" t="s">
        <v>54</v>
      </c>
      <c r="C18" s="132"/>
      <c r="D18" s="132"/>
      <c r="E18" s="132"/>
      <c r="F18" s="132"/>
      <c r="G18" s="140"/>
      <c r="H18" s="133"/>
      <c r="I18" s="1"/>
    </row>
    <row r="19" spans="1:9" x14ac:dyDescent="0.25">
      <c r="A19" s="1"/>
      <c r="B19" s="141" t="s">
        <v>46</v>
      </c>
      <c r="C19" s="142"/>
      <c r="D19" s="142"/>
      <c r="E19" s="142"/>
      <c r="F19" s="143"/>
      <c r="G19" s="76">
        <f>(SUM(G11:G12,G14)-(G15))*(1+'Fane 15. Nøgletal'!C10)</f>
        <v>22519512.499692827</v>
      </c>
      <c r="H19" s="14" t="s">
        <v>3</v>
      </c>
      <c r="I19" s="1"/>
    </row>
    <row r="20" spans="1:9" x14ac:dyDescent="0.25">
      <c r="A20" s="1"/>
      <c r="B20" s="144" t="s">
        <v>47</v>
      </c>
      <c r="C20" s="145"/>
      <c r="D20" s="145"/>
      <c r="E20" s="145"/>
      <c r="F20" s="146"/>
      <c r="G20" s="77">
        <v>0</v>
      </c>
      <c r="H20" s="14" t="s">
        <v>3</v>
      </c>
      <c r="I20" s="1"/>
    </row>
    <row r="21" spans="1:9" x14ac:dyDescent="0.25">
      <c r="A21" s="1"/>
      <c r="B21" s="141" t="s">
        <v>48</v>
      </c>
      <c r="C21" s="142"/>
      <c r="D21" s="142"/>
      <c r="E21" s="142"/>
      <c r="F21" s="143"/>
      <c r="G21" s="76">
        <f>SUM(G19:G20)*'Fane 15. Nøgletal'!C31</f>
        <v>450390.24999385653</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1" t="s">
        <v>55</v>
      </c>
      <c r="C24" s="132"/>
      <c r="D24" s="132"/>
      <c r="E24" s="132"/>
      <c r="F24" s="132"/>
      <c r="G24" s="140"/>
      <c r="H24" s="133"/>
      <c r="I24" s="1"/>
    </row>
    <row r="25" spans="1:9" x14ac:dyDescent="0.25">
      <c r="A25" s="1"/>
      <c r="B25" s="141" t="s">
        <v>49</v>
      </c>
      <c r="C25" s="142"/>
      <c r="D25" s="142"/>
      <c r="E25" s="142"/>
      <c r="F25" s="143"/>
      <c r="G25" s="76">
        <f>(G19+G20-G21)*(1+'Fane 15. Nøgletal'!C12)</f>
        <v>22503883.958018042</v>
      </c>
      <c r="H25" s="14" t="s">
        <v>3</v>
      </c>
      <c r="I25" s="1"/>
    </row>
    <row r="26" spans="1:9" x14ac:dyDescent="0.25">
      <c r="A26" s="1"/>
      <c r="B26" s="144" t="s">
        <v>50</v>
      </c>
      <c r="C26" s="145"/>
      <c r="D26" s="145"/>
      <c r="E26" s="145"/>
      <c r="F26" s="146"/>
      <c r="G26" s="77">
        <v>0</v>
      </c>
      <c r="H26" s="14" t="s">
        <v>3</v>
      </c>
      <c r="I26" s="1"/>
    </row>
    <row r="27" spans="1:9" x14ac:dyDescent="0.25">
      <c r="A27" s="1"/>
      <c r="B27" s="141" t="s">
        <v>51</v>
      </c>
      <c r="C27" s="142"/>
      <c r="D27" s="142"/>
      <c r="E27" s="142"/>
      <c r="F27" s="143"/>
      <c r="G27" s="76">
        <f>(G25+G26)*'Fane 15. Nøgletal'!C31</f>
        <v>450077.67916036083</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1" t="s">
        <v>58</v>
      </c>
      <c r="C30" s="132"/>
      <c r="D30" s="132"/>
      <c r="E30" s="132"/>
      <c r="F30" s="132"/>
      <c r="G30" s="140"/>
      <c r="H30" s="133"/>
      <c r="I30" s="1"/>
    </row>
    <row r="31" spans="1:9" x14ac:dyDescent="0.25">
      <c r="A31" s="1"/>
      <c r="B31" s="141" t="s">
        <v>59</v>
      </c>
      <c r="C31" s="142"/>
      <c r="D31" s="142"/>
      <c r="E31" s="142"/>
      <c r="F31" s="143"/>
      <c r="G31" s="76">
        <f>(G25+G26-G27)*(1+'Fane 15. Nøgletal'!C12)</f>
        <v>22488266.262551181</v>
      </c>
      <c r="H31" s="14" t="s">
        <v>3</v>
      </c>
      <c r="I31" s="1"/>
    </row>
    <row r="32" spans="1:9" x14ac:dyDescent="0.25">
      <c r="A32" s="1"/>
      <c r="B32" s="141" t="s">
        <v>137</v>
      </c>
      <c r="C32" s="142"/>
      <c r="D32" s="142"/>
      <c r="E32" s="142"/>
      <c r="F32" s="143"/>
      <c r="G32" s="76">
        <v>0</v>
      </c>
      <c r="H32" s="14" t="s">
        <v>3</v>
      </c>
      <c r="I32" s="1"/>
    </row>
    <row r="33" spans="1:9" x14ac:dyDescent="0.25">
      <c r="A33" s="1"/>
      <c r="B33" s="141" t="s">
        <v>60</v>
      </c>
      <c r="C33" s="142"/>
      <c r="D33" s="142"/>
      <c r="E33" s="142"/>
      <c r="F33" s="143"/>
      <c r="G33" s="76">
        <f>(G31+G32)*'Fane 15. Nøgletal'!C31</f>
        <v>449765.32525102363</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1" t="s">
        <v>160</v>
      </c>
      <c r="C36" s="132"/>
      <c r="D36" s="132"/>
      <c r="E36" s="132"/>
      <c r="F36" s="132"/>
      <c r="G36" s="140"/>
      <c r="H36" s="133"/>
      <c r="I36" s="1"/>
    </row>
    <row r="37" spans="1:9" x14ac:dyDescent="0.25">
      <c r="A37" s="1"/>
      <c r="B37" s="141" t="s">
        <v>79</v>
      </c>
      <c r="C37" s="142"/>
      <c r="D37" s="142"/>
      <c r="E37" s="142"/>
      <c r="F37" s="143"/>
      <c r="G37" s="76">
        <f>(G31+G32-G33)*(1+'Fane 15. Nøgletal'!C14)</f>
        <v>22111227.990393247</v>
      </c>
      <c r="H37" s="14" t="s">
        <v>3</v>
      </c>
      <c r="I37" s="1"/>
    </row>
    <row r="38" spans="1:9" x14ac:dyDescent="0.25">
      <c r="A38" s="1"/>
      <c r="B38" s="141" t="s">
        <v>164</v>
      </c>
      <c r="C38" s="142"/>
      <c r="D38" s="142"/>
      <c r="E38" s="142"/>
      <c r="F38" s="143"/>
      <c r="G38" s="76">
        <v>0</v>
      </c>
      <c r="H38" s="14" t="s">
        <v>3</v>
      </c>
      <c r="I38" s="1"/>
    </row>
    <row r="39" spans="1:9" x14ac:dyDescent="0.25">
      <c r="A39" s="1"/>
      <c r="B39" s="141" t="s">
        <v>162</v>
      </c>
      <c r="C39" s="142"/>
      <c r="D39" s="142"/>
      <c r="E39" s="142"/>
      <c r="F39" s="143"/>
      <c r="G39" s="76">
        <f>(G37+G38)*'Fane 15. Nøgletal'!C31</f>
        <v>442224.55980786495</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1" t="s">
        <v>161</v>
      </c>
      <c r="C42" s="132"/>
      <c r="D42" s="132"/>
      <c r="E42" s="132"/>
      <c r="F42" s="132"/>
      <c r="G42" s="140"/>
      <c r="H42" s="133"/>
      <c r="I42" s="1"/>
    </row>
    <row r="43" spans="1:9" x14ac:dyDescent="0.25">
      <c r="A43" s="1"/>
      <c r="B43" s="141" t="s">
        <v>228</v>
      </c>
      <c r="C43" s="142"/>
      <c r="D43" s="142"/>
      <c r="E43" s="142"/>
      <c r="F43" s="143"/>
      <c r="G43" s="76">
        <f>(G37+G38-G39)*(1+'Fane 15. Nøgletal'!C14)</f>
        <v>21740511.141906317</v>
      </c>
      <c r="H43" s="14" t="s">
        <v>3</v>
      </c>
      <c r="I43" s="1"/>
    </row>
    <row r="44" spans="1:9" x14ac:dyDescent="0.25">
      <c r="A44" s="1"/>
      <c r="B44" s="147" t="s">
        <v>230</v>
      </c>
      <c r="C44" s="148"/>
      <c r="D44" s="148"/>
      <c r="E44" s="148"/>
      <c r="F44" s="149"/>
      <c r="G44" s="80">
        <f>('Fane 2.1. Økonomisk ramme 2023'!C10+'Fane 2.1. Økonomisk ramme 2023'!C12+'Fane 2.1. Økonomisk ramme 2023'!C14)*(1+'Fane 15. Nøgletal'!C15)</f>
        <v>0</v>
      </c>
      <c r="H44" s="14" t="s">
        <v>3</v>
      </c>
      <c r="I44" s="1"/>
    </row>
    <row r="45" spans="1:9" x14ac:dyDescent="0.25">
      <c r="A45" s="1"/>
      <c r="B45" s="141" t="s">
        <v>163</v>
      </c>
      <c r="C45" s="142"/>
      <c r="D45" s="142"/>
      <c r="E45" s="142"/>
      <c r="F45" s="143"/>
      <c r="G45" s="76">
        <f>SUM(G43:G44)*'Fane 15. Nøgletal'!C31</f>
        <v>434810.22283812636</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1" t="s">
        <v>241</v>
      </c>
      <c r="C51" s="132"/>
      <c r="D51" s="132"/>
      <c r="E51" s="132"/>
      <c r="F51" s="132"/>
      <c r="G51" s="140"/>
      <c r="H51" s="133"/>
      <c r="I51" s="1"/>
    </row>
    <row r="52" spans="1:9" x14ac:dyDescent="0.25">
      <c r="A52" s="1"/>
      <c r="B52" s="141" t="s">
        <v>227</v>
      </c>
      <c r="C52" s="142"/>
      <c r="D52" s="142"/>
      <c r="E52" s="142"/>
      <c r="F52" s="143"/>
      <c r="G52" s="76">
        <f>(G43+G44-G45)*(1+'Fane 15. Nøgletal'!C15)</f>
        <v>22064183.871787019</v>
      </c>
      <c r="H52" s="14" t="s">
        <v>3</v>
      </c>
      <c r="I52" s="1"/>
    </row>
    <row r="53" spans="1:9" x14ac:dyDescent="0.25">
      <c r="A53" s="1"/>
      <c r="B53" s="141" t="s">
        <v>138</v>
      </c>
      <c r="C53" s="142"/>
      <c r="D53" s="142"/>
      <c r="E53" s="142"/>
      <c r="F53" s="143"/>
      <c r="G53" s="76">
        <f>(G52)*'Fane 15. Nøgletal'!C31</f>
        <v>441283.67743574036</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1" t="s">
        <v>150</v>
      </c>
      <c r="C56" s="132"/>
      <c r="D56" s="132"/>
      <c r="E56" s="132"/>
      <c r="F56" s="132"/>
      <c r="G56" s="140"/>
      <c r="H56" s="133"/>
      <c r="I56" s="1"/>
    </row>
    <row r="57" spans="1:9" x14ac:dyDescent="0.25">
      <c r="A57" s="1"/>
      <c r="B57" s="91" t="s">
        <v>151</v>
      </c>
      <c r="C57" s="92"/>
      <c r="D57" s="92"/>
      <c r="E57" s="92"/>
      <c r="F57" s="93"/>
      <c r="G57" s="76">
        <f>(G52-G53)*(1+'Fane 15. Nøgletal'!C15)</f>
        <v>22392675.441270184</v>
      </c>
      <c r="H57" s="14" t="s">
        <v>3</v>
      </c>
      <c r="I57" s="1"/>
    </row>
    <row r="58" spans="1:9" x14ac:dyDescent="0.25">
      <c r="A58" s="1"/>
      <c r="B58" s="91" t="s">
        <v>152</v>
      </c>
      <c r="C58" s="92"/>
      <c r="D58" s="92"/>
      <c r="E58" s="92"/>
      <c r="F58" s="93"/>
      <c r="G58" s="76">
        <f>(G57)*'Fane 15. Nøgletal'!C31</f>
        <v>447853.5088254037</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1" t="s">
        <v>193</v>
      </c>
      <c r="C61" s="132"/>
      <c r="D61" s="132"/>
      <c r="E61" s="132"/>
      <c r="F61" s="132"/>
      <c r="G61" s="140"/>
      <c r="H61" s="133"/>
      <c r="I61" s="1"/>
    </row>
    <row r="62" spans="1:9" x14ac:dyDescent="0.25">
      <c r="A62" s="1"/>
      <c r="B62" s="91" t="s">
        <v>194</v>
      </c>
      <c r="C62" s="92"/>
      <c r="D62" s="92"/>
      <c r="E62" s="92"/>
      <c r="F62" s="93"/>
      <c r="G62" s="76">
        <f>(G57-G58)*(1+'Fane 15. Nøgletal'!C15)</f>
        <v>22726057.593239818</v>
      </c>
      <c r="H62" s="14" t="s">
        <v>3</v>
      </c>
      <c r="I62" s="1"/>
    </row>
    <row r="63" spans="1:9" x14ac:dyDescent="0.25">
      <c r="A63" s="1"/>
      <c r="B63" s="91" t="s">
        <v>195</v>
      </c>
      <c r="C63" s="92"/>
      <c r="D63" s="92"/>
      <c r="E63" s="92"/>
      <c r="F63" s="93"/>
      <c r="G63" s="76">
        <f>(G62)*'Fane 15. Nøgletal'!C31</f>
        <v>454521.15186479635</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FgkM/mLLMMjtN5Pw3iu1wWNz17RzH75h1VXtpWG1VukJazPHqvwfKINXmuJYrfSFLME4wYVIG7Mecbmeq7MIA==" saltValue="4Y5TIgVegftL5w1EHPp5lg=="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1.140625" style="2" customWidth="1"/>
    <col min="2" max="5" width="9.140625" style="2"/>
    <col min="6" max="6" width="30.85546875" style="2" customWidth="1"/>
    <col min="7" max="7" width="14.140625" style="2" customWidth="1"/>
    <col min="8" max="8" width="3.28515625" style="2" customWidth="1"/>
    <col min="9" max="9" width="1.28515625" style="2" customWidth="1"/>
    <col min="10" max="16384" width="9.140625" style="2"/>
  </cols>
  <sheetData>
    <row r="1" spans="1:9" ht="14.25" customHeight="1" x14ac:dyDescent="0.25">
      <c r="A1" s="1"/>
      <c r="B1" s="150" t="s">
        <v>110</v>
      </c>
      <c r="C1" s="150"/>
      <c r="D1" s="150"/>
      <c r="E1" s="150"/>
      <c r="F1" s="150"/>
      <c r="G1" s="150"/>
      <c r="H1" s="150"/>
      <c r="I1" s="1"/>
    </row>
    <row r="2" spans="1:9" ht="15" customHeight="1" x14ac:dyDescent="0.25">
      <c r="A2" s="1"/>
      <c r="B2" s="150"/>
      <c r="C2" s="150"/>
      <c r="D2" s="150"/>
      <c r="E2" s="150"/>
      <c r="F2" s="150"/>
      <c r="G2" s="150"/>
      <c r="H2" s="150"/>
      <c r="I2" s="1"/>
    </row>
    <row r="3" spans="1:9" ht="15" customHeight="1" x14ac:dyDescent="0.25">
      <c r="A3" s="1"/>
      <c r="B3" s="151"/>
      <c r="C3" s="151"/>
      <c r="D3" s="151"/>
      <c r="E3" s="151"/>
      <c r="F3" s="151"/>
      <c r="G3" s="151"/>
      <c r="H3" s="151"/>
      <c r="I3" s="1"/>
    </row>
    <row r="4" spans="1:9" x14ac:dyDescent="0.25">
      <c r="A4" s="1"/>
      <c r="B4" s="131" t="s">
        <v>56</v>
      </c>
      <c r="C4" s="132"/>
      <c r="D4" s="132"/>
      <c r="E4" s="132"/>
      <c r="F4" s="132"/>
      <c r="G4" s="132"/>
      <c r="H4" s="133"/>
      <c r="I4" s="1"/>
    </row>
    <row r="5" spans="1:9" x14ac:dyDescent="0.25">
      <c r="A5" s="1"/>
      <c r="B5" s="141" t="s">
        <v>61</v>
      </c>
      <c r="C5" s="142"/>
      <c r="D5" s="142"/>
      <c r="E5" s="142"/>
      <c r="F5" s="143"/>
      <c r="G5" s="76">
        <v>51487105.293005534</v>
      </c>
      <c r="H5" s="14" t="s">
        <v>3</v>
      </c>
      <c r="I5" s="1"/>
    </row>
    <row r="6" spans="1:9" x14ac:dyDescent="0.25">
      <c r="A6" s="1"/>
      <c r="B6" s="141" t="s">
        <v>57</v>
      </c>
      <c r="C6" s="142"/>
      <c r="D6" s="142"/>
      <c r="E6" s="142"/>
      <c r="F6" s="143"/>
      <c r="G6" s="76">
        <f>G5*'Fane 15. Nøgletal'!C20</f>
        <v>468532.65816635039</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1" t="s">
        <v>62</v>
      </c>
      <c r="C9" s="132"/>
      <c r="D9" s="132"/>
      <c r="E9" s="132"/>
      <c r="F9" s="132"/>
      <c r="G9" s="140"/>
      <c r="H9" s="133"/>
      <c r="I9" s="1"/>
    </row>
    <row r="10" spans="1:9" x14ac:dyDescent="0.25">
      <c r="A10" s="1"/>
      <c r="B10" s="141" t="s">
        <v>63</v>
      </c>
      <c r="C10" s="142"/>
      <c r="D10" s="142"/>
      <c r="E10" s="142"/>
      <c r="F10" s="143"/>
      <c r="G10" s="76">
        <f>(G5-G6)*(1+'Fane 15. Nøgletal'!C10)</f>
        <v>51911397.655948877</v>
      </c>
      <c r="H10" s="14" t="s">
        <v>3</v>
      </c>
      <c r="I10" s="1"/>
    </row>
    <row r="11" spans="1:9" x14ac:dyDescent="0.25">
      <c r="A11" s="1"/>
      <c r="B11" s="141" t="s">
        <v>122</v>
      </c>
      <c r="C11" s="142"/>
      <c r="D11" s="142"/>
      <c r="E11" s="142"/>
      <c r="F11" s="143"/>
      <c r="G11" s="76">
        <v>201869.98847834193</v>
      </c>
      <c r="H11" s="14" t="s">
        <v>3</v>
      </c>
      <c r="I11" s="1"/>
    </row>
    <row r="12" spans="1:9" x14ac:dyDescent="0.25">
      <c r="A12" s="1"/>
      <c r="B12" s="144" t="s">
        <v>64</v>
      </c>
      <c r="C12" s="145"/>
      <c r="D12" s="145"/>
      <c r="E12" s="145"/>
      <c r="F12" s="146"/>
      <c r="G12" s="77">
        <v>0</v>
      </c>
      <c r="H12" s="14" t="s">
        <v>3</v>
      </c>
      <c r="I12" s="1"/>
    </row>
    <row r="13" spans="1:9" x14ac:dyDescent="0.25">
      <c r="A13" s="1"/>
      <c r="B13" s="141" t="s">
        <v>65</v>
      </c>
      <c r="C13" s="142"/>
      <c r="D13" s="142"/>
      <c r="E13" s="142"/>
      <c r="F13" s="143"/>
      <c r="G13" s="76">
        <f>SUM(G10:G12)*'Fane 15. Nøgletal'!C21</f>
        <v>922404.83730636176</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1" t="s">
        <v>66</v>
      </c>
      <c r="C16" s="132"/>
      <c r="D16" s="132"/>
      <c r="E16" s="132"/>
      <c r="F16" s="132"/>
      <c r="G16" s="140"/>
      <c r="H16" s="133"/>
      <c r="I16" s="1"/>
    </row>
    <row r="17" spans="1:9" x14ac:dyDescent="0.25">
      <c r="A17" s="1"/>
      <c r="B17" s="141" t="s">
        <v>67</v>
      </c>
      <c r="C17" s="142"/>
      <c r="D17" s="142"/>
      <c r="E17" s="142"/>
      <c r="F17" s="143"/>
      <c r="G17" s="76">
        <f>(SUM(G10:G12)-G13)*(1+'Fane 15. Nøgletal'!C10)</f>
        <v>52086702.90624547</v>
      </c>
      <c r="H17" s="14" t="s">
        <v>3</v>
      </c>
      <c r="I17" s="1"/>
    </row>
    <row r="18" spans="1:9" x14ac:dyDescent="0.25">
      <c r="A18" s="1"/>
      <c r="B18" s="144" t="s">
        <v>68</v>
      </c>
      <c r="C18" s="145"/>
      <c r="D18" s="145"/>
      <c r="E18" s="145"/>
      <c r="F18" s="146"/>
      <c r="G18" s="76">
        <v>0</v>
      </c>
      <c r="H18" s="14" t="s">
        <v>3</v>
      </c>
      <c r="I18" s="1"/>
    </row>
    <row r="19" spans="1:9" x14ac:dyDescent="0.25">
      <c r="A19" s="1"/>
      <c r="B19" s="141" t="s">
        <v>69</v>
      </c>
      <c r="C19" s="142"/>
      <c r="D19" s="142"/>
      <c r="E19" s="142"/>
      <c r="F19" s="143"/>
      <c r="G19" s="76">
        <f>G17*'Fane 15. Nøgletal'!C21+G18*'Fane 15. Nøgletal'!C22</f>
        <v>921934.64144054486</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1" t="s">
        <v>70</v>
      </c>
      <c r="C22" s="132"/>
      <c r="D22" s="132"/>
      <c r="E22" s="132"/>
      <c r="F22" s="132"/>
      <c r="G22" s="140"/>
      <c r="H22" s="133"/>
      <c r="I22" s="1"/>
    </row>
    <row r="23" spans="1:9" x14ac:dyDescent="0.25">
      <c r="A23" s="1"/>
      <c r="B23" s="141" t="s">
        <v>71</v>
      </c>
      <c r="C23" s="142"/>
      <c r="D23" s="142"/>
      <c r="E23" s="142"/>
      <c r="F23" s="143"/>
      <c r="G23" s="76">
        <f>(G17+G18-G19)*(1+'Fane 15. Nøgletal'!C12)</f>
        <v>52172714.199621581</v>
      </c>
      <c r="H23" s="14" t="s">
        <v>3</v>
      </c>
      <c r="I23" s="1"/>
    </row>
    <row r="24" spans="1:9" x14ac:dyDescent="0.25">
      <c r="A24" s="1"/>
      <c r="B24" s="144" t="s">
        <v>72</v>
      </c>
      <c r="C24" s="145"/>
      <c r="D24" s="145"/>
      <c r="E24" s="145"/>
      <c r="F24" s="146"/>
      <c r="G24" s="76">
        <v>0</v>
      </c>
      <c r="H24" s="14" t="s">
        <v>3</v>
      </c>
      <c r="I24" s="1"/>
    </row>
    <row r="25" spans="1:9" x14ac:dyDescent="0.25">
      <c r="A25" s="1"/>
      <c r="B25" s="141" t="s">
        <v>73</v>
      </c>
      <c r="C25" s="142"/>
      <c r="D25" s="142"/>
      <c r="E25" s="142"/>
      <c r="F25" s="143"/>
      <c r="G25" s="76">
        <f>(G23+G24)*'Fane 15. Nøgletal'!C23</f>
        <v>1481705.0832692529</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1" t="s">
        <v>74</v>
      </c>
      <c r="C28" s="132"/>
      <c r="D28" s="132"/>
      <c r="E28" s="132"/>
      <c r="F28" s="132"/>
      <c r="G28" s="140"/>
      <c r="H28" s="133"/>
      <c r="I28" s="1"/>
    </row>
    <row r="29" spans="1:9" x14ac:dyDescent="0.25">
      <c r="A29" s="1"/>
      <c r="B29" s="141" t="s">
        <v>75</v>
      </c>
      <c r="C29" s="142"/>
      <c r="D29" s="142"/>
      <c r="E29" s="142"/>
      <c r="F29" s="143"/>
      <c r="G29" s="76">
        <f>(G23+G24-G25)*(1+'Fane 15. Nøgletal'!C12)</f>
        <v>51689621.99594447</v>
      </c>
      <c r="H29" s="14" t="s">
        <v>3</v>
      </c>
      <c r="I29" s="1"/>
    </row>
    <row r="30" spans="1:9" x14ac:dyDescent="0.25">
      <c r="A30" s="1"/>
      <c r="B30" s="141" t="s">
        <v>139</v>
      </c>
      <c r="C30" s="142"/>
      <c r="D30" s="142"/>
      <c r="E30" s="142"/>
      <c r="F30" s="143"/>
      <c r="G30" s="76">
        <v>0</v>
      </c>
      <c r="H30" s="14" t="s">
        <v>3</v>
      </c>
      <c r="I30" s="1"/>
    </row>
    <row r="31" spans="1:9" x14ac:dyDescent="0.25">
      <c r="A31" s="1"/>
      <c r="B31" s="141" t="s">
        <v>76</v>
      </c>
      <c r="C31" s="142"/>
      <c r="D31" s="142"/>
      <c r="E31" s="142"/>
      <c r="F31" s="143"/>
      <c r="G31" s="76">
        <f>G29*'Fane 15. Nøgletal'!C23+G30*'Fane 15. Nøgletal'!C24</f>
        <v>1467985.2646848231</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1" t="s">
        <v>165</v>
      </c>
      <c r="C34" s="132"/>
      <c r="D34" s="132"/>
      <c r="E34" s="132"/>
      <c r="F34" s="132"/>
      <c r="G34" s="140"/>
      <c r="H34" s="133"/>
      <c r="I34" s="1"/>
    </row>
    <row r="35" spans="1:9" x14ac:dyDescent="0.25">
      <c r="A35" s="1"/>
      <c r="B35" s="141" t="s">
        <v>78</v>
      </c>
      <c r="C35" s="142"/>
      <c r="D35" s="142"/>
      <c r="E35" s="142"/>
      <c r="F35" s="143"/>
      <c r="G35" s="76">
        <f>(G29+G30-G31)*(1+'Fane 15. Nøgletal'!C14)</f>
        <v>50387368.132472806</v>
      </c>
      <c r="H35" s="14" t="s">
        <v>3</v>
      </c>
      <c r="I35" s="1"/>
    </row>
    <row r="36" spans="1:9" x14ac:dyDescent="0.25">
      <c r="A36" s="1"/>
      <c r="B36" s="141" t="s">
        <v>167</v>
      </c>
      <c r="C36" s="142"/>
      <c r="D36" s="142"/>
      <c r="E36" s="142"/>
      <c r="F36" s="143"/>
      <c r="G36" s="76">
        <v>0</v>
      </c>
      <c r="H36" s="14" t="s">
        <v>3</v>
      </c>
      <c r="I36" s="1"/>
    </row>
    <row r="37" spans="1:9" x14ac:dyDescent="0.25">
      <c r="A37" s="1"/>
      <c r="B37" s="141" t="s">
        <v>166</v>
      </c>
      <c r="C37" s="142"/>
      <c r="D37" s="142"/>
      <c r="E37" s="142"/>
      <c r="F37" s="143"/>
      <c r="G37" s="76">
        <f>(G35+G36)*'Fane 15. Nøgletal'!C25</f>
        <v>745733.04836059758</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1" t="s">
        <v>221</v>
      </c>
      <c r="C40" s="132"/>
      <c r="D40" s="132"/>
      <c r="E40" s="132"/>
      <c r="F40" s="132"/>
      <c r="G40" s="140"/>
      <c r="H40" s="133"/>
      <c r="I40" s="1"/>
    </row>
    <row r="41" spans="1:9" x14ac:dyDescent="0.25">
      <c r="A41" s="1"/>
      <c r="B41" s="141" t="s">
        <v>77</v>
      </c>
      <c r="C41" s="142"/>
      <c r="D41" s="142"/>
      <c r="E41" s="142"/>
      <c r="F41" s="143"/>
      <c r="G41" s="76">
        <f>(G35+G36-G37)*(1+'Fane 15. Nøgletal'!C14)</f>
        <v>49805452.47988978</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0</v>
      </c>
      <c r="H42" s="14" t="s">
        <v>3</v>
      </c>
      <c r="I42" s="1"/>
    </row>
    <row r="43" spans="1:9" x14ac:dyDescent="0.25">
      <c r="A43" s="1"/>
      <c r="B43" s="141" t="s">
        <v>168</v>
      </c>
      <c r="C43" s="142"/>
      <c r="D43" s="142"/>
      <c r="E43" s="142"/>
      <c r="F43" s="143"/>
      <c r="G43" s="76">
        <f>(G41)*'Fane 15. Nøgletal'!C25+G42*'Fane 15. Nøgletal'!C26</f>
        <v>737120.69670236879</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1" t="s">
        <v>242</v>
      </c>
      <c r="C52" s="132"/>
      <c r="D52" s="132"/>
      <c r="E52" s="132"/>
      <c r="F52" s="132"/>
      <c r="G52" s="140"/>
      <c r="H52" s="133"/>
      <c r="I52" s="1"/>
    </row>
    <row r="53" spans="1:9" x14ac:dyDescent="0.25">
      <c r="A53" s="1"/>
      <c r="B53" s="141" t="s">
        <v>140</v>
      </c>
      <c r="C53" s="142"/>
      <c r="D53" s="142"/>
      <c r="E53" s="142"/>
      <c r="F53" s="143"/>
      <c r="G53" s="76">
        <f>(G41+G42-G43)*(1+'Fane 15. Nøgletal'!C15)</f>
        <v>50815164.394668885</v>
      </c>
      <c r="H53" s="14" t="s">
        <v>3</v>
      </c>
      <c r="I53" s="1"/>
    </row>
    <row r="54" spans="1:9" x14ac:dyDescent="0.25">
      <c r="A54" s="1"/>
      <c r="B54" s="141" t="s">
        <v>141</v>
      </c>
      <c r="C54" s="142"/>
      <c r="D54" s="142"/>
      <c r="E54" s="142"/>
      <c r="F54" s="143"/>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1" t="s">
        <v>153</v>
      </c>
      <c r="C57" s="132"/>
      <c r="D57" s="132"/>
      <c r="E57" s="132"/>
      <c r="F57" s="132"/>
      <c r="G57" s="140"/>
      <c r="H57" s="133"/>
      <c r="I57" s="1"/>
    </row>
    <row r="58" spans="1:9" x14ac:dyDescent="0.25">
      <c r="A58" s="1"/>
      <c r="B58" s="141" t="s">
        <v>173</v>
      </c>
      <c r="C58" s="142"/>
      <c r="D58" s="142"/>
      <c r="E58" s="142"/>
      <c r="F58" s="143"/>
      <c r="G58" s="76">
        <f>(G53-G54)*(1+'Fane 15. Nøgletal'!C15)</f>
        <v>52624184.247119099</v>
      </c>
      <c r="H58" s="14" t="s">
        <v>3</v>
      </c>
      <c r="I58" s="1"/>
    </row>
    <row r="59" spans="1:9" x14ac:dyDescent="0.25">
      <c r="A59" s="1"/>
      <c r="B59" s="141" t="s">
        <v>174</v>
      </c>
      <c r="C59" s="142"/>
      <c r="D59" s="142"/>
      <c r="E59" s="142"/>
      <c r="F59" s="143"/>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1" t="s">
        <v>196</v>
      </c>
      <c r="C62" s="132"/>
      <c r="D62" s="132"/>
      <c r="E62" s="132"/>
      <c r="F62" s="132"/>
      <c r="G62" s="140"/>
      <c r="H62" s="133"/>
      <c r="I62" s="1"/>
    </row>
    <row r="63" spans="1:9" x14ac:dyDescent="0.25">
      <c r="A63" s="1"/>
      <c r="B63" s="141" t="s">
        <v>197</v>
      </c>
      <c r="C63" s="142"/>
      <c r="D63" s="142"/>
      <c r="E63" s="142"/>
      <c r="F63" s="143"/>
      <c r="G63" s="76">
        <f>(G58-G59)*(1+'Fane 15. Nøgletal'!C15)</f>
        <v>54497605.206316546</v>
      </c>
      <c r="H63" s="14" t="s">
        <v>3</v>
      </c>
      <c r="I63" s="1"/>
    </row>
    <row r="64" spans="1:9" x14ac:dyDescent="0.25">
      <c r="A64" s="1"/>
      <c r="B64" s="141" t="s">
        <v>198</v>
      </c>
      <c r="C64" s="142"/>
      <c r="D64" s="142"/>
      <c r="E64" s="142"/>
      <c r="F64" s="143"/>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fP8FHZQV7AmQSd14IggoGQ3/DsoGtcXJHd0/ORNTZvgzv27dpr9lQzvgYb+qCR5OIbUQ51QQ+7WKpVnd4NOpGw==" saltValue="PZAmnrE9LcJz8LDNi3933w=="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3" t="s">
        <v>88</v>
      </c>
      <c r="C3" s="123"/>
      <c r="D3" s="123"/>
      <c r="E3" s="123"/>
      <c r="F3" s="123"/>
      <c r="G3" s="123"/>
      <c r="H3" s="1"/>
    </row>
    <row r="4" spans="1:8" ht="15" customHeight="1" x14ac:dyDescent="0.25">
      <c r="A4" s="1"/>
      <c r="B4" s="123"/>
      <c r="C4" s="123"/>
      <c r="D4" s="123"/>
      <c r="E4" s="123"/>
      <c r="F4" s="123"/>
      <c r="G4" s="123"/>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1" t="s">
        <v>10</v>
      </c>
      <c r="C8" s="132"/>
      <c r="D8" s="132"/>
      <c r="E8" s="132"/>
      <c r="F8" s="132"/>
      <c r="G8" s="133"/>
      <c r="H8" s="1"/>
    </row>
    <row r="9" spans="1:8" x14ac:dyDescent="0.25">
      <c r="A9" s="1"/>
      <c r="B9" s="141" t="s">
        <v>154</v>
      </c>
      <c r="C9" s="142"/>
      <c r="D9" s="142"/>
      <c r="E9" s="142"/>
      <c r="F9" s="143"/>
      <c r="G9" s="35">
        <v>0</v>
      </c>
      <c r="H9" s="1"/>
    </row>
    <row r="10" spans="1:8" x14ac:dyDescent="0.25">
      <c r="A10" s="1"/>
      <c r="B10" s="32"/>
      <c r="C10" s="27"/>
      <c r="D10" s="27"/>
      <c r="E10" s="27"/>
      <c r="F10" s="27"/>
      <c r="G10" s="19"/>
      <c r="H10" s="1"/>
    </row>
    <row r="11" spans="1:8" ht="29.25" customHeight="1" x14ac:dyDescent="0.25">
      <c r="A11" s="1"/>
      <c r="B11" s="152" t="s">
        <v>236</v>
      </c>
      <c r="C11" s="153"/>
      <c r="D11" s="153"/>
      <c r="E11" s="153"/>
      <c r="F11" s="153"/>
      <c r="G11" s="154"/>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DfSl/21AW+HM5ThLhJB3tx+q/x7cfB94L6t9yLRO3LfkW3HU3q7zvtEX7HnzPvCIxl7PmZQpJNWoSfCAkfvgtQ==" saltValue="UVLTLev+HH9ORMAYfU+qh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2022-12-01T08:49:20Z</dcterms:modified>
</cp:coreProperties>
</file>