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Denne_projektmappe" defaultThemeVersion="124226"/>
  <mc:AlternateContent xmlns:mc="http://schemas.openxmlformats.org/markup-compatibility/2006">
    <mc:Choice Requires="x15">
      <x15ac:absPath xmlns:x15ac="http://schemas.microsoft.com/office/spreadsheetml/2010/11/ac" url="E:\VAND\Sagsbehandling\Drikkevand\Vandcenter Djurs a.m.b.a. (V198)\ØR2025\"/>
    </mc:Choice>
  </mc:AlternateContent>
  <xr:revisionPtr revIDLastSave="0" documentId="13_ncr:1_{1349CB8A-0A7C-4DBF-90D0-358BDF27DC88}" xr6:coauthVersionLast="36" xr6:coauthVersionMax="36" xr10:uidLastSave="{00000000-0000-0000-0000-000000000000}"/>
  <bookViews>
    <workbookView xWindow="3105" yWindow="1005"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<sst xmlns="http://schemas.openxmlformats.org/spreadsheetml/2006/main" count="448" uniqueCount="204">
  <si>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</si>
  <si>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</si>
  <si>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</si>
  <si>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</si>
  <si>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</si>
  <si>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</si>
  <si>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</si>
  <si>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</si>
  <si>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</si>
  <si>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</si>
  <si>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</si>
  <si>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</si>
  <si>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</si>
  <si>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</si>
  <si>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</si>
  <si>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</si>
  <si>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</si>
  <si>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</si>
  <si>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</si>
  <si>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</si>
  <si>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</si>
  <si>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</si>
  <si>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</si>
  <si>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</si>
  <si>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</si>
  <si>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</si>
  <si>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</si>
  <si>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</si>
  <si>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</si>
  <si>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</si>
  <si>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</si>
  <si>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</si>
  <si>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</si>
  <si>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</si>
  <si>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</si>
  <si>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</si>
  <si>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</si>
  <si>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</si>
  <si>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</si>
  <si>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</si>
  <si>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</si>
  <si>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</si>
  <si>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</si>
  <si>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</si>
  <si>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</si>
  <si>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</si>
  <si>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</si>
  <si>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</si>
  <si>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</si>
  <si>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</si>
  <si>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</si>
  <si>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</si>
  <si>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</si>
  <si>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</si>
  <si>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</si>
  <si>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</si>
  <si>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</si>
  <si>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</si>
  <si>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</si>
  <si>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</si>
  <si>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</si>
  <si>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</si>
  <si>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</si>
  <si>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</si>
  <si>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</si>
  <si>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</si>
  <si>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</si>
  <si>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</si>
  <si>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</si>
  <si>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</si>
  <si>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</si>
  <si>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</si>
  <si>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</si>
  <si>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</si>
  <si>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</si>
  <si>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</si>
  <si>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</si>
  <si>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</si>
  <si>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</si>
  <si>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</si>
  <si>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</si>
  <si>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</si>
  <si>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</si>
  <si>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</si>
  <si>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</si>
  <si>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</si>
  <si>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</si>
  <si>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</si>
  <si>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</si>
  <si>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</si>
  <si>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</si>
  <si>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</si>
  <si>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</si>
  <si>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</si>
  <si>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</si>
  <si>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</si>
  <si>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</si>
  <si>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</si>
  <si>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</si>
  <si>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</si>
  <si>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</si>
  <si>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</si>
  <si>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</si>
  <si>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</si>
  <si>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</si>
  <si>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</si>
  <si>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</si>
  <si>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</si>
  <si>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</si>
  <si>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</si>
  <si>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</si>
  <si>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</si>
  <si>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</si>
  <si>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</si>
  <si>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</si>
  <si>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</si>
  <si>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</si>
  <si>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</si>
  <si>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</si>
  <si>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</si>
  <si>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</si>
  <si>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</si>
  <si>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</si>
  <si>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</si>
  <si>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</si>
  <si>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</si>
  <si>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</si>
  <si>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</si>
  <si>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</si>
  <si>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</si>
  <si>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</si>
  <si>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</si>
  <si>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</si>
  <si>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</si>
  <si>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</si>
  <si>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</si>
  <si>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</si>
  <si>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</si>
  <si>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</si>
  <si>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</si>
  <si>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</si>
  <si>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</si>
  <si>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</si>
  <si>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</si>
  <si>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</si>
  <si>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</si>
  <si>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</si>
  <si>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</si>
  <si>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</si>
  <si>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</si>
  <si>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</si>
  <si>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</si>
  <si>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</si>
  <si>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</si>
  <si>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</si>
  <si>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</si>
  <si>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</si>
  <si>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</si>
  <si>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</si>
  <si>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</si>
  <si>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</si>
  <si>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</si>
  <si>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</si>
  <si>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</si>
  <si>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</si>
  <si>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</si>
  <si>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</si>
  <si>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</si>
  <si>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</si>
  <si>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</si>
  <si>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</si>
  <si>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</si>
  <si>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</si>
  <si>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</si>
  <si>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</si>
  <si>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</si>
  <si>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</si>
  <si>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</si>
  <si>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</si>
  <si>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</si>
  <si>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</si>
  <si>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</si>
  <si>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</si>
  <si>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</si>
  <si>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</si>
  <si>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</si>
  <si>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</si>
  <si>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</si>
  <si>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</si>
  <si>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</si>
  <si>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</si>
  <si>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</si>
  <si>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</si>
  <si>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</si>
  <si>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</si>
  <si>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</si>
  <si>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</si>
  <si>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Nye stik</t>
  </si>
  <si>
    <t>Ingen engangstillæg</t>
  </si>
  <si>
    <t>Afgift for ledningsført vand</t>
  </si>
  <si>
    <t>Afgift til Forsyningssekretariatet</t>
  </si>
  <si>
    <t>Ejendomsskatter</t>
  </si>
  <si>
    <t>Skovrejsning Dolmer Kildeplads</t>
  </si>
  <si>
    <t>Dolmer Kildeplads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</si>
</sst>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196</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159</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nuZiX7PvyWdaunP5FGDA1fE2Truse4hmI96NCE60U+INkt25EMI7YOqLV12xSQrfn91vfkW04h/5d7QFriRCGA==" saltValue="x5Gxch1/TBwat1nCWlQUzA=="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42578125" style="2" customWidth="1"/>
    <col min="2" max="2" width="58.42578125" style="2" customWidth="1"/>
    <col min="3" max="3" width="12.5703125" style="2" customWidth="1"/>
    <col min="4" max="4" width="3.1406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199</v>
      </c>
      <c r="C10" s="65">
        <v>9632000</v>
      </c>
      <c r="D10" s="14" t="s">
        <v>3</v>
      </c>
      <c r="E10" s="1"/>
    </row>
    <row r="11" spans="1:5" x14ac:dyDescent="0.25">
      <c r="A11" s="1"/>
      <c r="B11" s="64" t="s">
        <v>200</v>
      </c>
      <c r="C11" s="65">
        <v>72223</v>
      </c>
      <c r="D11" s="14" t="s">
        <v>3</v>
      </c>
      <c r="E11" s="1"/>
    </row>
    <row r="12" spans="1:5" x14ac:dyDescent="0.25">
      <c r="A12" s="1"/>
      <c r="B12" s="64" t="s">
        <v>201</v>
      </c>
      <c r="C12" s="65">
        <v>21602</v>
      </c>
      <c r="D12" s="14" t="s">
        <v>3</v>
      </c>
      <c r="E12" s="1"/>
    </row>
    <row r="13" spans="1:5" x14ac:dyDescent="0.25">
      <c r="A13" s="1"/>
      <c r="B13" s="64" t="s">
        <v>202</v>
      </c>
      <c r="C13" s="65">
        <v>275760</v>
      </c>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10001585</v>
      </c>
      <c r="D19" s="13" t="s">
        <v>3</v>
      </c>
      <c r="E19" s="1"/>
    </row>
    <row r="20" spans="1:5" x14ac:dyDescent="0.25">
      <c r="A20" s="1"/>
      <c r="B20" s="52" t="s">
        <v>144</v>
      </c>
      <c r="C20" s="12">
        <f>C19*(1+'Fane 13. Nøgletal'!C11)^2</f>
        <v>11371759.03816865</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zY1Y/70wysn4wKWn+WwafracDWT0A0+1j/7VHO0lsWuERvV2f4PGLhS252BeQvPteDwcwJpAAzPvz5EwDl/5bQ==" saltValue="+cGme7I24hM5WkzT3Wka3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42578125" style="2" customWidth="1"/>
    <col min="2" max="2" width="56.42578125" style="2" customWidth="1"/>
    <col min="3" max="3" width="11.5703125" style="2" customWidth="1"/>
    <col min="4" max="4" width="3.1406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1"/>
      <c r="D7" s="1"/>
      <c r="E7" s="1"/>
    </row>
    <row r="8" spans="1:5" x14ac:dyDescent="0.25">
      <c r="A8" s="1"/>
      <c r="B8" s="98" t="s">
        <v>175</v>
      </c>
      <c r="C8" s="99"/>
      <c r="D8" s="100"/>
      <c r="E8" s="1"/>
    </row>
    <row r="9" spans="1:5" x14ac:dyDescent="0.25">
      <c r="A9" s="1"/>
      <c r="B9" s="56" t="s">
        <v>176</v>
      </c>
      <c r="C9" s="9">
        <v>669181.94728707895</v>
      </c>
      <c r="D9" s="39" t="s">
        <v>3</v>
      </c>
      <c r="E9" s="1"/>
    </row>
    <row r="10" spans="1:5" x14ac:dyDescent="0.25">
      <c r="A10" s="1"/>
      <c r="B10" s="56" t="s">
        <v>174</v>
      </c>
      <c r="C10" s="9">
        <v>-1506968.9539550915</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9" t="s">
        <v>177</v>
      </c>
      <c r="C14" s="70"/>
      <c r="D14" s="71"/>
      <c r="E14" s="1"/>
    </row>
    <row r="15" spans="1:5" x14ac:dyDescent="0.25">
      <c r="A15" s="1"/>
      <c r="B15" s="56" t="s">
        <v>178</v>
      </c>
      <c r="C15" s="9">
        <f>IF(C10&lt;0,C10,0)</f>
        <v>-1506968.9539550915</v>
      </c>
      <c r="D15" s="14" t="s">
        <v>3</v>
      </c>
      <c r="E15" s="1"/>
    </row>
    <row r="16" spans="1:5" x14ac:dyDescent="0.25">
      <c r="A16" s="1"/>
      <c r="B16" s="56" t="s">
        <v>185</v>
      </c>
      <c r="C16" s="9">
        <f>IF(SUM(C9)&gt;0,SUM(C9),0)</f>
        <v>669181.94728707895</v>
      </c>
      <c r="D16" s="14" t="s">
        <v>3</v>
      </c>
      <c r="E16" s="1"/>
    </row>
    <row r="17" spans="1:5" ht="26.25" x14ac:dyDescent="0.25">
      <c r="A17" s="1"/>
      <c r="B17" s="72" t="s">
        <v>179</v>
      </c>
      <c r="C17" s="62">
        <f>IF(SUM(C15:C16)&gt;0,0,SUM(C15:C16))</f>
        <v>-837787.00666801259</v>
      </c>
      <c r="D17" s="17" t="s">
        <v>3</v>
      </c>
      <c r="E17" s="1"/>
    </row>
    <row r="18" spans="1:5" x14ac:dyDescent="0.25">
      <c r="A18" s="1"/>
      <c r="B18" s="52"/>
      <c r="C18" s="53"/>
      <c r="D18" s="19"/>
      <c r="E18" s="1"/>
    </row>
    <row r="19" spans="1:5" x14ac:dyDescent="0.25">
      <c r="A19" s="1"/>
      <c r="B19" s="1"/>
      <c r="C19" s="1"/>
      <c r="D19" s="1"/>
      <c r="E19" s="1"/>
    </row>
    <row r="20" spans="1:5" x14ac:dyDescent="0.25">
      <c r="A20" s="1"/>
      <c r="B20" s="69" t="s">
        <v>180</v>
      </c>
      <c r="C20" s="70"/>
      <c r="D20" s="71"/>
      <c r="E20" s="1"/>
    </row>
    <row r="21" spans="1:5" x14ac:dyDescent="0.25">
      <c r="A21" s="1"/>
      <c r="B21" s="56" t="s">
        <v>181</v>
      </c>
      <c r="C21" s="9">
        <v>26805435.40323855</v>
      </c>
      <c r="D21" s="14" t="s">
        <v>3</v>
      </c>
      <c r="E21" s="1"/>
    </row>
    <row r="22" spans="1:5" x14ac:dyDescent="0.25">
      <c r="A22" s="1"/>
      <c r="B22" s="56" t="s">
        <v>182</v>
      </c>
      <c r="C22" s="9">
        <v>27620000</v>
      </c>
      <c r="D22" s="14" t="s">
        <v>3</v>
      </c>
      <c r="E22" s="1"/>
    </row>
    <row r="23" spans="1:5" x14ac:dyDescent="0.25">
      <c r="A23" s="1"/>
      <c r="B23" s="56" t="s">
        <v>28</v>
      </c>
      <c r="C23" s="9">
        <v>0</v>
      </c>
      <c r="D23" s="14" t="s">
        <v>3</v>
      </c>
      <c r="E23" s="1"/>
    </row>
    <row r="24" spans="1:5" x14ac:dyDescent="0.25">
      <c r="A24" s="1"/>
      <c r="B24" s="74" t="s">
        <v>183</v>
      </c>
      <c r="C24" s="46">
        <f>C21-C22-C23</f>
        <v>-814564.59676145017</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-1652351.6034294628</v>
      </c>
      <c r="D28" s="14" t="s">
        <v>3</v>
      </c>
      <c r="E28" s="1"/>
    </row>
    <row r="29" spans="1:5" x14ac:dyDescent="0.25">
      <c r="A29" s="1"/>
      <c r="B29" s="57" t="s">
        <v>48</v>
      </c>
      <c r="C29" s="9">
        <v>2</v>
      </c>
      <c r="D29" s="14" t="s">
        <v>18</v>
      </c>
      <c r="E29" s="1"/>
    </row>
    <row r="30" spans="1:5" x14ac:dyDescent="0.25">
      <c r="A30" s="1"/>
      <c r="B30" s="58" t="s">
        <v>64</v>
      </c>
      <c r="C30" s="10">
        <f>C28/C29</f>
        <v>-826175.80171473138</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vMAEoaNupY1jsTzylKeEU1RyZWPjqaXeXAXQ3Wzi/dMH/Ptv/vX9V1lhNdSqfYVluZk98CiK30l7PeXQ6zS0VA==" saltValue="tWvXxtz9nOKvbqWbfwgUiQ=="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42578125" style="30" customWidth="1"/>
    <col min="2" max="2" width="57.140625" style="30" customWidth="1"/>
    <col min="3" max="3" width="12.5703125" style="30" customWidth="1"/>
    <col min="4" max="4" width="3.140625" style="30" customWidth="1"/>
    <col min="5" max="5" width="5.425781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9"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tk0HGF+jc8tos9furKpL8j8dmNYd+EB4y0d8x79Adm+T9tRAk5f50nOzVe2Ueyz0y0wrTWYbCWoO8ViCihLnA==" saltValue="64p8iAgPLbGFlEQQh1aubw=="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42578125" style="2" customWidth="1"/>
    <col min="2" max="2" width="23.5703125" style="2" customWidth="1"/>
    <col min="3" max="3" width="7.5703125" style="2" customWidth="1"/>
    <col min="4" max="4" width="9.5703125" style="2" customWidth="1"/>
    <col min="5" max="5" width="3.42578125" style="2" customWidth="1"/>
    <col min="6" max="6" width="9.5703125" style="2" customWidth="1"/>
    <col min="7" max="7" width="3.42578125" style="2" customWidth="1"/>
    <col min="8" max="8" width="9.5703125" style="2" customWidth="1"/>
    <col min="9" max="9" width="3.42578125" style="2" customWidth="1"/>
    <col min="10" max="10" width="9.5703125" style="2" customWidth="1"/>
    <col min="11" max="11" width="3.42578125" style="2" customWidth="1"/>
    <col min="12" max="12" width="5.425781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YEVF38x27JfwWK/JuO66kgR2kivSZfdqlx76L3tXiQ4Mvf6gnbGjeBf7DTWODYerENXEmAPqB8ORGn+f2pl7dA==" saltValue="PwgcMGlnJNBcR55nDCaGc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425781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42578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2" t="s">
        <v>15</v>
      </c>
      <c r="C9" s="74" t="s">
        <v>10</v>
      </c>
      <c r="D9" s="73"/>
      <c r="E9" s="74"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197</v>
      </c>
      <c r="C11" s="21">
        <v>31229</v>
      </c>
      <c r="D11" s="14" t="s">
        <v>3</v>
      </c>
      <c r="E11" s="9">
        <v>1389</v>
      </c>
      <c r="F11" s="14" t="s">
        <v>3</v>
      </c>
      <c r="G11" s="1"/>
    </row>
    <row r="12" spans="1:7" x14ac:dyDescent="0.25">
      <c r="A12" s="1"/>
      <c r="B12" s="26" t="s">
        <v>203</v>
      </c>
      <c r="C12" s="21">
        <v>0</v>
      </c>
      <c r="D12" s="14" t="s">
        <v>3</v>
      </c>
      <c r="E12" s="9">
        <v>239720</v>
      </c>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31229</v>
      </c>
      <c r="D17" s="13" t="s">
        <v>3</v>
      </c>
      <c r="E17" s="12">
        <f>SUM(E10:E16)</f>
        <v>241109</v>
      </c>
      <c r="F17" s="13" t="s">
        <v>3</v>
      </c>
      <c r="G17" s="1"/>
    </row>
    <row r="18" spans="1:7" x14ac:dyDescent="0.25">
      <c r="A18" s="1"/>
      <c r="B18" s="52" t="s">
        <v>147</v>
      </c>
      <c r="C18" s="12">
        <f>C17*(1+'Fane 13. Nøgletal'!C11)</f>
        <v>33299.4827</v>
      </c>
      <c r="D18" s="13" t="s">
        <v>3</v>
      </c>
      <c r="E18" s="12">
        <f>E17*(1+'Fane 13. Nøgletal'!C11)</f>
        <v>257094.52670000002</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umY4BDpGcK9vhuKYVriP7piOfaMxq9m64YCfS1PSYeyXbehCttCg1jwqRB2mMlVbIveexQzegeGQZlD+Qhri2g==" saltValue="zFb9//ctj+yOfHCWTuibm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42578125" style="2" customWidth="1"/>
    <col min="2" max="2" width="38.140625" style="2" customWidth="1"/>
    <col min="3" max="3" width="13.5703125" style="2" customWidth="1"/>
    <col min="4" max="4" width="3.42578125" style="2" customWidth="1"/>
    <col min="5" max="5" width="13.5703125" style="2" customWidth="1"/>
    <col min="6" max="6" width="3.42578125" style="2" customWidth="1"/>
    <col min="7" max="7" width="5.42578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2" t="s">
        <v>15</v>
      </c>
      <c r="C9" s="74" t="s">
        <v>10</v>
      </c>
      <c r="D9" s="75"/>
      <c r="E9" s="74" t="s">
        <v>26</v>
      </c>
      <c r="F9" s="27"/>
      <c r="G9" s="1"/>
    </row>
    <row r="10" spans="1:7" x14ac:dyDescent="0.25">
      <c r="A10" s="1"/>
      <c r="B10" s="23" t="s">
        <v>198</v>
      </c>
      <c r="C10" s="21">
        <v>0</v>
      </c>
      <c r="D10" s="14" t="s">
        <v>3</v>
      </c>
      <c r="E10" s="9">
        <v>0</v>
      </c>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rE3RLhJQQwQfWne3NgprW5Et3KIJs0fNKxVRQR54DYMrxUsqQVa9riP2Uz9qiCqwwnESPgqj0gyTAxty0iYJw==" saltValue="2WpRpc/YMWg4vn5iRoE5r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42578125" style="2" customWidth="1"/>
    <col min="2" max="2" width="37.5703125" style="2" customWidth="1"/>
    <col min="3" max="3" width="13.5703125" style="2" customWidth="1"/>
    <col min="4" max="4" width="3.42578125" style="2" customWidth="1"/>
    <col min="5" max="5" width="13.5703125" style="2" customWidth="1"/>
    <col min="6" max="6" width="3.42578125" style="2" customWidth="1"/>
    <col min="7" max="7" width="5.42578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QQlwpisb6jbTi62PeqFvhsfBH9kRufF1HrMPAwVFAY6nnhBrgdPNkQI0yFz/NUCmxA2/L2UqUyP4u2QYuz+MLg==" saltValue="mYtb5VeiLPZ3wqB1fvS5kw=="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42578125" style="2" customWidth="1"/>
    <col min="2" max="2" width="37.5703125" style="2" customWidth="1"/>
    <col min="3" max="3" width="13.5703125" style="2" customWidth="1"/>
    <col min="4" max="4" width="3.140625" style="2" customWidth="1"/>
    <col min="5" max="5" width="13.5703125" style="2" customWidth="1"/>
    <col min="6" max="6" width="3.140625" style="2" customWidth="1"/>
    <col min="7" max="7" width="5.42578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pfi3D6VHx/CdNA7n2gv5DfjEy6Z3dVFryBkvuZ1ZW8syrzduvMZr63dytJj1NqSPJoabCQeWCS9CATAorZmg==" saltValue="8az4K653joQyPrXn+cNJWQ=="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42578125" style="2" customWidth="1"/>
    <col min="2" max="2" width="61.5703125" style="2" customWidth="1"/>
    <col min="3" max="3" width="7.5703125" style="38" customWidth="1"/>
    <col min="4" max="4" width="5.425781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KNJcoBe/du4yHv7iVOfi6A1xBU6FfJ9Tv0XCf4rVqaOPkd8dXNfLlJlKGAgqHDecLssSUadTCnR9rYLcEhWQ9w==" saltValue="jgsV70x1rQXlIonx72J1IQ=="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2" customWidth="1"/>
    <col min="4" max="4" width="3.425781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18447103.133466691</v>
      </c>
      <c r="D9" s="8" t="s">
        <v>3</v>
      </c>
      <c r="E9" s="1"/>
    </row>
    <row r="10" spans="1:5" ht="17.100000000000001" customHeight="1" x14ac:dyDescent="0.25">
      <c r="A10" s="1"/>
      <c r="B10" s="24" t="s">
        <v>32</v>
      </c>
      <c r="C10" s="7">
        <f>'Fane 10.1. Varige tillæg'!C18</f>
        <v>33299.4827</v>
      </c>
      <c r="D10" s="8" t="s">
        <v>3</v>
      </c>
      <c r="E10" s="1"/>
    </row>
    <row r="11" spans="1:5" ht="17.100000000000001" customHeight="1" x14ac:dyDescent="0.25">
      <c r="A11" s="1"/>
      <c r="B11" s="24" t="s">
        <v>33</v>
      </c>
      <c r="C11" s="9">
        <f>'Fane 10.1. Varige tillæg'!E18</f>
        <v>257094.52670000002</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1242296.0605720617</v>
      </c>
      <c r="D16" s="8" t="s">
        <v>3</v>
      </c>
      <c r="E16" s="1"/>
    </row>
    <row r="17" spans="1:5" ht="17.100000000000001" customHeight="1" x14ac:dyDescent="0.25">
      <c r="A17" s="1"/>
      <c r="B17" s="24" t="s">
        <v>9</v>
      </c>
      <c r="C17" s="9">
        <f>-SUM(C9:C16)*'Fane 5. Individuelt eff. krav'!C9</f>
        <v>-60910.947075731965</v>
      </c>
      <c r="D17" s="8" t="s">
        <v>3</v>
      </c>
      <c r="E17" s="1"/>
    </row>
    <row r="18" spans="1:5" ht="17.100000000000001" customHeight="1" x14ac:dyDescent="0.25">
      <c r="A18" s="1"/>
      <c r="B18" s="24" t="s">
        <v>21</v>
      </c>
      <c r="C18" s="9">
        <f>-'Fane 4.1. Gen. krav - drift'!C17</f>
        <v>-151455.76267668541</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4" t="s">
        <v>19</v>
      </c>
      <c r="C20" s="10">
        <f>SUM(C9:C19)</f>
        <v>19767426.493686337</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11371759.03816865</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4"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-826175.80171473138</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30313009.730140254</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W1svwUqFUgI5blyp/l1ftz0PRxzsZkLyQ/izuUVZ2CfGMk2Q0V9X44xUeMBg/MjigH/aGaXgci3rhiKQA95wPw==" saltValue="37fcwzYb1UxtI/UfwJGWU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2" customWidth="1"/>
    <col min="4" max="4" width="3.425781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19767426.493686337</v>
      </c>
      <c r="D9" s="8" t="s">
        <v>3</v>
      </c>
      <c r="E9" s="1"/>
    </row>
    <row r="10" spans="1:5" ht="15" customHeight="1" x14ac:dyDescent="0.25">
      <c r="A10" s="1"/>
      <c r="B10" s="47" t="s">
        <v>17</v>
      </c>
      <c r="C10" s="41">
        <f>C9*'Fane 13. Nøgletal'!C11</f>
        <v>1310580.3765314042</v>
      </c>
      <c r="D10" s="8" t="s">
        <v>3</v>
      </c>
      <c r="E10" s="1"/>
    </row>
    <row r="11" spans="1:5" ht="15" customHeight="1" x14ac:dyDescent="0.25">
      <c r="A11" s="1"/>
      <c r="B11" s="47" t="s">
        <v>9</v>
      </c>
      <c r="C11" s="9">
        <f>-SUM(C9:C10)*'Fane 5. Individuelt eff. krav'!C9</f>
        <v>-64258.991465075655</v>
      </c>
      <c r="D11" s="8" t="s">
        <v>3</v>
      </c>
      <c r="E11" s="1"/>
    </row>
    <row r="12" spans="1:5" ht="15" customHeight="1" x14ac:dyDescent="0.25">
      <c r="A12" s="1"/>
      <c r="B12" s="47" t="s">
        <v>21</v>
      </c>
      <c r="C12" s="9">
        <f>-'Fane 4.1. Gen. krav - drift'!C22</f>
        <v>-158267.33414730668</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20855480.544605356</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12125706.662399232</v>
      </c>
      <c r="D16" s="11" t="s">
        <v>3</v>
      </c>
      <c r="E16" s="1"/>
    </row>
    <row r="17" spans="1:5" x14ac:dyDescent="0.25">
      <c r="A17" s="1"/>
      <c r="B17" s="25" t="s">
        <v>65</v>
      </c>
      <c r="C17" s="53"/>
      <c r="D17" s="19"/>
      <c r="E17" s="1"/>
    </row>
    <row r="18" spans="1:5" ht="15" customHeight="1" x14ac:dyDescent="0.25">
      <c r="A18" s="1"/>
      <c r="B18" s="45" t="s">
        <v>66</v>
      </c>
      <c r="C18" s="10">
        <f>'Fane 7. Kontrol af ØR2023'!C30</f>
        <v>-826175.80171473138</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32155011.405289859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9++RGIjT3ZE/hsv8v+ItzA1xXriUI+hyrUxiFDBDRoANpSX3ZVTuMsEWFozL4QsfgTu/PH+ld5BJNU6HFZnAQ==" saltValue="KabbTxfUoFgr6XWCAFs3z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2" customWidth="1"/>
    <col min="4" max="4" width="3.425781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20855480.544605356</v>
      </c>
      <c r="D9" s="8" t="s">
        <v>3</v>
      </c>
      <c r="E9" s="1"/>
    </row>
    <row r="10" spans="1:5" ht="15" customHeight="1" x14ac:dyDescent="0.25">
      <c r="A10" s="1"/>
      <c r="B10" s="47" t="s">
        <v>17</v>
      </c>
      <c r="C10" s="41">
        <f>C9*'Fane 13. Nøgletal'!C11</f>
        <v>1382718.360107335</v>
      </c>
      <c r="D10" s="8" t="s">
        <v>3</v>
      </c>
      <c r="E10" s="1"/>
    </row>
    <row r="11" spans="1:5" ht="15" customHeight="1" x14ac:dyDescent="0.25">
      <c r="A11" s="1"/>
      <c r="B11" s="47" t="s">
        <v>9</v>
      </c>
      <c r="C11" s="9">
        <f>-SUM(C9:C10)*'Fane 5. Individuelt eff. krav'!C9</f>
        <v>-67795.984810864888</v>
      </c>
      <c r="D11" s="8" t="s">
        <v>3</v>
      </c>
      <c r="E11" s="1"/>
    </row>
    <row r="12" spans="1:5" ht="15" customHeight="1" x14ac:dyDescent="0.25">
      <c r="A12" s="1"/>
      <c r="B12" s="47" t="s">
        <v>21</v>
      </c>
      <c r="C12" s="9">
        <f>-'Fane 4.1. Gen. krav - drift'!C27</f>
        <v>-165385.24923324765</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22005017.67066858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12929641.0141163</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34934658.684784882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01shYSpTHvxfxlDdjYoxgWx2Xf2GqstIn2pfRcsZKk5KTLrr5F9tgCjzJaDE5NSsoFTtA4tvhizKLkntTOU1ZQ==" saltValue="jprOZ0bCIt7q/l9Xb7F4E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2" customWidth="1"/>
    <col min="4" max="4" width="3.425781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7"/>
      <c r="C6" s="67"/>
      <c r="D6" s="67"/>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22005017.67066858</v>
      </c>
      <c r="D9" s="8" t="s">
        <v>3</v>
      </c>
      <c r="E9" s="1"/>
    </row>
    <row r="10" spans="1:5" ht="15" customHeight="1" x14ac:dyDescent="0.25">
      <c r="A10" s="1"/>
      <c r="B10" s="47" t="s">
        <v>17</v>
      </c>
      <c r="C10" s="9">
        <f>C9*'Fane 13. Nøgletal'!C11</f>
        <v>1458932.6715653269</v>
      </c>
      <c r="D10" s="8" t="s">
        <v>3</v>
      </c>
      <c r="E10" s="1"/>
    </row>
    <row r="11" spans="1:5" ht="15" customHeight="1" x14ac:dyDescent="0.25">
      <c r="A11" s="1"/>
      <c r="B11" s="47" t="s">
        <v>9</v>
      </c>
      <c r="C11" s="9">
        <f>-SUM(C9:C10)*'Fane 5. Individuelt eff. krav'!C9</f>
        <v>-71532.844355837893</v>
      </c>
      <c r="D11" s="8" t="s">
        <v>3</v>
      </c>
      <c r="E11" s="1"/>
    </row>
    <row r="12" spans="1:5" ht="15" customHeight="1" x14ac:dyDescent="0.25">
      <c r="A12" s="1"/>
      <c r="B12" s="47" t="s">
        <v>21</v>
      </c>
      <c r="C12" s="9">
        <f>-'Fane 4.1. Gen. krav - drift'!C32</f>
        <v>-172823.28543226371</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23219594.212445807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13786876.213352213</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37006470.425798021</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L2ax3bmMumPV0iRIfwL1hkISzMvCMhzzluEpceUsXOMbMDX+BbONp36mhKTSgjond9cBHedi/ug0yR8wgxKIA==" saltValue="H0Aso0aWI17Bw12QgL+2p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5703125" style="2" customWidth="1"/>
    <col min="3" max="3" width="12.5703125" style="2" bestFit="1" customWidth="1"/>
    <col min="4" max="4" width="3" style="2" customWidth="1"/>
    <col min="5" max="5" width="6.425781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15463149.299961749</v>
      </c>
      <c r="D9" s="8" t="s">
        <v>3</v>
      </c>
      <c r="E9" s="1"/>
    </row>
    <row r="10" spans="1:5" x14ac:dyDescent="0.25">
      <c r="A10" s="1"/>
      <c r="B10" s="24" t="s">
        <v>32</v>
      </c>
      <c r="C10" s="7">
        <v>568213.30720000004</v>
      </c>
      <c r="D10" s="8" t="s">
        <v>3</v>
      </c>
      <c r="E10" s="1"/>
    </row>
    <row r="11" spans="1:5" ht="15" customHeight="1" x14ac:dyDescent="0.25">
      <c r="A11" s="1"/>
      <c r="B11" s="24" t="s">
        <v>33</v>
      </c>
      <c r="C11" s="9">
        <v>1816801.0223999999</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743197.27291031834</v>
      </c>
      <c r="D16" s="8" t="s">
        <v>3</v>
      </c>
      <c r="E16" s="1"/>
    </row>
    <row r="17" spans="1:5" x14ac:dyDescent="0.25">
      <c r="A17" s="1"/>
      <c r="B17" s="24" t="s">
        <v>9</v>
      </c>
      <c r="C17" s="9">
        <v>0</v>
      </c>
      <c r="D17" s="8" t="s">
        <v>3</v>
      </c>
      <c r="E17" s="1"/>
    </row>
    <row r="18" spans="1:5" x14ac:dyDescent="0.25">
      <c r="A18" s="1"/>
      <c r="B18" s="24" t="s">
        <v>21</v>
      </c>
      <c r="C18" s="9">
        <v>-144257.76900537737</v>
      </c>
      <c r="D18" s="8" t="s">
        <v>3</v>
      </c>
      <c r="E18" s="1"/>
    </row>
    <row r="19" spans="1:5" x14ac:dyDescent="0.25">
      <c r="A19" s="1"/>
      <c r="B19" s="24" t="s">
        <v>22</v>
      </c>
      <c r="C19" s="9">
        <v>0</v>
      </c>
      <c r="D19" s="8" t="s">
        <v>3</v>
      </c>
      <c r="E19" s="1"/>
    </row>
    <row r="20" spans="1:5" x14ac:dyDescent="0.25">
      <c r="A20" s="1"/>
      <c r="B20" s="74" t="s">
        <v>19</v>
      </c>
      <c r="C20" s="10">
        <v>18447103.133466691</v>
      </c>
      <c r="D20" s="11" t="s">
        <v>3</v>
      </c>
      <c r="E20" s="1"/>
    </row>
    <row r="21" spans="1:5" x14ac:dyDescent="0.25">
      <c r="A21" s="1"/>
      <c r="B21" s="52" t="s">
        <v>11</v>
      </c>
      <c r="C21" s="53"/>
      <c r="D21" s="19"/>
      <c r="E21" s="1"/>
    </row>
    <row r="22" spans="1:5" x14ac:dyDescent="0.25">
      <c r="A22" s="1"/>
      <c r="B22" s="54" t="s">
        <v>11</v>
      </c>
      <c r="C22" s="10">
        <v>12252878.61051072</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4" t="s">
        <v>40</v>
      </c>
      <c r="C28" s="50">
        <v>0</v>
      </c>
      <c r="D28" s="11" t="s">
        <v>3</v>
      </c>
      <c r="E28" s="1"/>
    </row>
    <row r="29" spans="1:5" x14ac:dyDescent="0.25">
      <c r="A29" s="1"/>
      <c r="B29" s="25" t="s">
        <v>65</v>
      </c>
      <c r="C29" s="53"/>
      <c r="D29" s="19"/>
      <c r="E29" s="1"/>
    </row>
    <row r="30" spans="1:5" x14ac:dyDescent="0.25">
      <c r="A30" s="1"/>
      <c r="B30" s="58" t="s">
        <v>66</v>
      </c>
      <c r="C30" s="10">
        <v>0</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30699981.743977413</v>
      </c>
      <c r="D33" s="19" t="s">
        <v>3</v>
      </c>
      <c r="E33" s="1"/>
    </row>
    <row r="34" spans="1:5" ht="30" customHeight="1" x14ac:dyDescent="0.25">
      <c r="A34" s="1"/>
      <c r="B34" s="97" t="s">
        <v>193</v>
      </c>
      <c r="C34" s="97"/>
      <c r="D34" s="97"/>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9aCIg2Rj2Alrzen1hCiY3iArigWj+0v6tx6CEXxMRQPG95DvVV+3E//o/222Ehs9jx1YQz4jt3jsZSo3UOckWg==" saltValue="rbbrYo4p/NXreRWGEKF7WQ=="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33" customWidth="1"/>
    <col min="4" max="4" width="3.140625" style="2" customWidth="1"/>
    <col min="5" max="5" width="5.425781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8"/>
      <c r="C6" s="68"/>
      <c r="D6" s="68"/>
      <c r="E6" s="1"/>
    </row>
    <row r="7" spans="1:5" x14ac:dyDescent="0.25">
      <c r="A7" s="1"/>
      <c r="B7" s="1"/>
      <c r="C7" s="32"/>
      <c r="D7" s="1"/>
      <c r="E7" s="1"/>
    </row>
    <row r="8" spans="1:5" x14ac:dyDescent="0.25">
      <c r="A8" s="1"/>
      <c r="B8" s="98" t="s">
        <v>75</v>
      </c>
      <c r="C8" s="99"/>
      <c r="D8" s="100"/>
      <c r="E8" s="1"/>
    </row>
    <row r="9" spans="1:5" x14ac:dyDescent="0.25">
      <c r="A9" s="1"/>
      <c r="B9" s="56" t="s">
        <v>167</v>
      </c>
      <c r="C9" s="22">
        <v>6598763.5078471079</v>
      </c>
      <c r="D9" s="14" t="s">
        <v>3</v>
      </c>
      <c r="E9" s="1"/>
    </row>
    <row r="10" spans="1:5" x14ac:dyDescent="0.25">
      <c r="A10" s="1"/>
      <c r="B10" s="56" t="s">
        <v>110</v>
      </c>
      <c r="C10" s="22">
        <f>('Fane 3. Omkostninger i ØR2024'!C10+'Fane 3. Omkostninger i ØR2024'!C12+'Fane 3. Omkostninger i ØR2024'!C14)*(1+'Fane 13. Nøgletal'!C10)</f>
        <v>614124.94242176006</v>
      </c>
      <c r="D10" s="14" t="s">
        <v>3</v>
      </c>
      <c r="E10" s="1"/>
    </row>
    <row r="11" spans="1:5" x14ac:dyDescent="0.25">
      <c r="A11" s="1"/>
      <c r="B11" s="56" t="s">
        <v>81</v>
      </c>
      <c r="C11" s="22">
        <f>C9*'Fane 13. Nøgletal'!C23+C10*'Fane 13. Nøgletal'!C23</f>
        <v>144257.76900537737</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7537280.8954312606</v>
      </c>
      <c r="D15" s="14" t="s">
        <v>3</v>
      </c>
      <c r="E15" s="1"/>
    </row>
    <row r="16" spans="1:5" x14ac:dyDescent="0.25">
      <c r="A16" s="1"/>
      <c r="B16" s="56" t="s">
        <v>154</v>
      </c>
      <c r="C16" s="22">
        <f>('Fane 2.1. Økonomisk ramme 2025'!C10+'Fane 2.1. Økonomisk ramme 2025'!C12+'Fane 2.1. Økonomisk ramme 2025'!C14)*(1+'Fane 13. Nøgletal'!C11)</f>
        <v>35507.23840301</v>
      </c>
      <c r="D16" s="14" t="s">
        <v>3</v>
      </c>
      <c r="E16" s="1"/>
    </row>
    <row r="17" spans="1:5" x14ac:dyDescent="0.25">
      <c r="A17" s="1"/>
      <c r="B17" s="56" t="s">
        <v>155</v>
      </c>
      <c r="C17" s="22">
        <f>(C15+C16)*'Fane 13. Nøgletal'!C23</f>
        <v>151455.76267668541</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7913366.707365334</v>
      </c>
      <c r="D21" s="14" t="s">
        <v>3</v>
      </c>
      <c r="E21" s="1"/>
    </row>
    <row r="22" spans="1:5" x14ac:dyDescent="0.25">
      <c r="A22" s="1"/>
      <c r="B22" s="56" t="s">
        <v>171</v>
      </c>
      <c r="C22" s="48">
        <f>(C21)*'Fane 13. Nøgletal'!C23</f>
        <v>158267.33414730668</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8269262.4616623819</v>
      </c>
      <c r="D26" s="14" t="s">
        <v>3</v>
      </c>
      <c r="E26" s="1"/>
    </row>
    <row r="27" spans="1:5" x14ac:dyDescent="0.25">
      <c r="A27" s="1"/>
      <c r="B27" s="56" t="s">
        <v>118</v>
      </c>
      <c r="C27" s="48">
        <f>(C26)*'Fane 13. Nøgletal'!C23</f>
        <v>165385.24923324765</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8641164.2716131862</v>
      </c>
      <c r="D31" s="14" t="s">
        <v>3</v>
      </c>
      <c r="E31" s="1"/>
    </row>
    <row r="32" spans="1:5" x14ac:dyDescent="0.25">
      <c r="A32" s="1"/>
      <c r="B32" s="56" t="s">
        <v>138</v>
      </c>
      <c r="C32" s="48">
        <f>(C31)*'Fane 13. Nøgletal'!C23</f>
        <v>172823.28543226371</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7hLoIJcGfKH3o4wfxAlkeBtfYZctr+OyIWFzqzE/YC4KGqfC162srn8LBk388mVTUiEwpQ7yQIUpAErWGi2kcA==" saltValue="wM29I6KaIusVjv6zwTUxfA=="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42578125" style="2" customWidth="1"/>
    <col min="2" max="2" width="58" style="2" customWidth="1"/>
    <col min="3" max="3" width="11.5703125" style="2" customWidth="1"/>
    <col min="4" max="4" width="3.140625" style="2" customWidth="1"/>
    <col min="5" max="5" width="5.425781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9641786.8693453893</v>
      </c>
      <c r="D9" s="14" t="s">
        <v>3</v>
      </c>
      <c r="E9" s="1"/>
    </row>
    <row r="10" spans="1:5" x14ac:dyDescent="0.25">
      <c r="A10" s="1"/>
      <c r="B10" s="56" t="s">
        <v>113</v>
      </c>
      <c r="C10" s="48">
        <f>('Fane 3. Omkostninger i ØR2024'!C11+'Fane 3. Omkostninger i ØR2024'!C13+'Fane 3. Omkostninger i ØR2024'!C15)*(1+'Fane 13. Nøgletal'!C10)</f>
        <v>1963598.5450099199</v>
      </c>
      <c r="D10" s="14" t="s">
        <v>3</v>
      </c>
      <c r="E10" s="1"/>
    </row>
    <row r="11" spans="1:5" x14ac:dyDescent="0.25">
      <c r="A11" s="1"/>
      <c r="B11" s="56" t="s">
        <v>114</v>
      </c>
      <c r="C11" s="66">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12374822.467327068</v>
      </c>
      <c r="D15" s="14" t="s">
        <v>3</v>
      </c>
      <c r="E15" s="1"/>
    </row>
    <row r="16" spans="1:5" x14ac:dyDescent="0.25">
      <c r="A16" s="1"/>
      <c r="B16" s="56" t="s">
        <v>157</v>
      </c>
      <c r="C16" s="48">
        <f>('Fane 2.1. Økonomisk ramme 2025'!C11+'Fane 2.1. Økonomisk ramme 2025'!C13+'Fane 2.1. Økonomisk ramme 2025'!C15)*(1+'Fane 13. Nøgletal'!C11)</f>
        <v>274139.89382021001</v>
      </c>
      <c r="D16" s="14" t="s">
        <v>3</v>
      </c>
      <c r="E16" s="1"/>
    </row>
    <row r="17" spans="1:5" x14ac:dyDescent="0.25">
      <c r="A17" s="1"/>
      <c r="B17" s="56" t="s">
        <v>158</v>
      </c>
      <c r="C17" s="66">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13487588.565691343</v>
      </c>
      <c r="D21" s="14" t="s">
        <v>3</v>
      </c>
      <c r="E21" s="1"/>
    </row>
    <row r="22" spans="1:5" x14ac:dyDescent="0.25">
      <c r="A22" s="1"/>
      <c r="B22" s="56" t="s">
        <v>165</v>
      </c>
      <c r="C22" s="66">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14381815.687596679</v>
      </c>
      <c r="D26" s="14" t="s">
        <v>3</v>
      </c>
      <c r="E26" s="1"/>
    </row>
    <row r="27" spans="1:5" x14ac:dyDescent="0.25">
      <c r="A27" s="1"/>
      <c r="B27" s="56" t="s">
        <v>121</v>
      </c>
      <c r="C27" s="66">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15335330.067684339</v>
      </c>
      <c r="D31" s="14" t="s">
        <v>3</v>
      </c>
      <c r="E31" s="1"/>
    </row>
    <row r="32" spans="1:5" x14ac:dyDescent="0.25">
      <c r="A32" s="1"/>
      <c r="B32" s="56" t="s">
        <v>141</v>
      </c>
      <c r="C32" s="66">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VT31QE1Q66xRwnwKLZUl9bk6Gnbr9E/sENz1WyntBagHJyMXIQ2fPAaNFdi6ZCWM5WcHJJf4PBwJBkA4LhVSw==" saltValue="YqfzrUztsAAWZlCq/JB2xA=="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42578125" style="2" customWidth="1"/>
    <col min="2" max="2" width="57.140625" style="2" customWidth="1"/>
    <col min="3" max="3" width="12.5703125" style="2" customWidth="1"/>
    <col min="4" max="4" width="5.425781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3.0486275035743853E-3</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jfm45Wg0F0XH7kYibeyeAdjpLXKJABusSaxivOyMVKLBIw6OpvEoouT/S7LmbR8vK4RBjob72yhZYTdSTZtlg==" saltValue="BoVj5p3CgqbNXaK/E3mrAw=="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2024-10-15T07:37:41Z</dcterms:modified>
</cp:coreProperties>
</file>