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Lemvig Vand &amp; Spildevand AS (V120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5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1" i="37" s="1"/>
  <c r="C12" i="37" s="1"/>
  <c r="C12" i="2" s="1"/>
  <c r="E11" i="21"/>
  <c r="E12" i="21" s="1"/>
  <c r="C11" i="21"/>
  <c r="C12" i="21" s="1"/>
  <c r="E11" i="29"/>
  <c r="E12" i="29" s="1"/>
  <c r="C16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1" i="37" s="1"/>
  <c r="E12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<sst xmlns="http://schemas.openxmlformats.org/spreadsheetml/2006/main" count="619" uniqueCount="254">
  <si>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</si>
  <si>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</si>
  <si>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</si>
  <si>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</si>
  <si>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</si>
  <si>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</si>
  <si>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</si>
  <si>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</si>
  <si>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</si>
  <si>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</si>
  <si>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</si>
  <si>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</si>
  <si>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</si>
  <si>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</si>
  <si>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</si>
  <si>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</si>
  <si>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</si>
  <si>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</si>
  <si>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</si>
  <si>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</si>
  <si>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</si>
  <si>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</si>
  <si>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</si>
  <si>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</si>
  <si>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</si>
  <si>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</si>
  <si>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</si>
  <si>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</si>
  <si>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</si>
  <si>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</si>
  <si>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</si>
  <si>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</si>
  <si>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</si>
  <si>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</si>
  <si>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</si>
  <si>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</si>
  <si>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</si>
  <si>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</si>
  <si>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</si>
  <si>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</si>
  <si>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</si>
  <si>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</si>
  <si>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</si>
  <si>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</si>
  <si>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</si>
  <si>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</si>
  <si>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</si>
  <si>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</si>
  <si>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</si>
  <si>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</si>
  <si>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</si>
  <si>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</si>
  <si>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</si>
  <si>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</si>
  <si>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</si>
  <si>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</si>
  <si>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</si>
  <si>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</si>
  <si>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</si>
  <si>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</si>
  <si>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</si>
  <si>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</si>
  <si>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</si>
  <si>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</si>
  <si>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</si>
  <si>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</si>
  <si>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</si>
  <si>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</si>
  <si>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</si>
  <si>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</si>
  <si>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</si>
  <si>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</si>
  <si>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</si>
  <si>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</si>
  <si>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</si>
  <si>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</si>
  <si>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</si>
  <si>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</si>
  <si>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</si>
  <si>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</si>
  <si>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</si>
  <si>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</si>
  <si>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</si>
  <si>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</si>
  <si>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</si>
  <si>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</si>
  <si>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</si>
  <si>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</si>
  <si>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</si>
  <si>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</si>
  <si>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</si>
  <si>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</si>
  <si>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</si>
  <si>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</si>
  <si>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</si>
  <si>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</si>
  <si>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</si>
  <si>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</si>
  <si>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</si>
  <si>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</si>
  <si>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</si>
  <si>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</si>
  <si>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</si>
  <si>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</si>
  <si>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</si>
  <si>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</si>
  <si>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</si>
  <si>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</si>
  <si>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</si>
  <si>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</si>
  <si>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</si>
  <si>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</si>
  <si>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</si>
  <si>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</si>
  <si>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</si>
  <si>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</si>
  <si>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</si>
  <si>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</si>
  <si>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</si>
  <si>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</si>
  <si>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</si>
  <si>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</si>
  <si>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</si>
  <si>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</si>
  <si>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</si>
  <si>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</si>
  <si>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</si>
  <si>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</si>
  <si>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</si>
  <si>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</si>
  <si>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</si>
  <si>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</si>
  <si>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</si>
  <si>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</si>
  <si>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</si>
  <si>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</si>
  <si>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</si>
  <si>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</si>
  <si>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</si>
  <si>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</si>
  <si>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</si>
  <si>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</si>
  <si>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</si>
  <si>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</si>
  <si>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</si>
  <si>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</si>
  <si>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</si>
  <si>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</si>
  <si>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</si>
  <si>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</si>
  <si>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</si>
  <si>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</si>
  <si>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</si>
  <si>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</si>
  <si>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</si>
  <si>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</si>
  <si>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</si>
  <si>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</si>
  <si>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</si>
  <si>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</si>
  <si>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</si>
  <si>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</si>
  <si>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</si>
  <si>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</si>
  <si>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</si>
  <si>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</si>
  <si>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</si>
  <si>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</si>
  <si>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</si>
  <si>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</si>
  <si>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</si>
  <si>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</si>
  <si>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</si>
  <si>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</si>
  <si>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</si>
  <si>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</si>
  <si>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</si>
  <si>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</si>
  <si>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</si>
  <si>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</si>
  <si>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</si>
  <si>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</si>
  <si>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</si>
  <si>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</si>
  <si>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</si>
  <si>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</si>
  <si>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</si>
  <si>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</si>
  <si>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</si>
  <si>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</si>
  <si>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</si>
  <si>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</si>
  <si>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</si>
  <si>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</si>
  <si>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</si>
  <si>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</si>
  <si>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</si>
  <si>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</si>
  <si>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</si>
  <si>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</si>
  <si>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</si>
  <si>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</si>
  <si>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</si>
  <si>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</si>
  <si>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</si>
  <si>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</si>
  <si>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</si>
  <si>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</si>
  <si>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</si>
  <si>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</si>
  <si>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</si>
  <si>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</si>
  <si>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</si>
  <si>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</si>
  <si>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</si>
  <si>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</si>
  <si>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</si>
  <si>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</si>
  <si>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</si>
  <si>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</si>
  <si>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</si>
  <si>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</si>
  <si>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</si>
  <si>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</si>
  <si>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</si>
  <si>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</si>
  <si>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</si>
  <si>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</si>
  <si>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</si>
  <si>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Ejendomsskat</t>
  </si>
  <si>
    <t>Tjenestemandspensioner</t>
  </si>
  <si>
    <t>Erstatninger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</si>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</sst>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  <sheetName val="Ark1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1">
          <cell r="A1" t="str">
            <v>ØR 2020-2023 samt statusmeddelelser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3" t="s">
        <v>4</v>
      </c>
      <c r="E6" s="83"/>
      <c r="F6" s="83"/>
      <c r="G6" s="83"/>
      <c r="H6" s="3"/>
      <c r="I6" s="1"/>
    </row>
    <row r="7" spans="1:9" ht="15" customHeight="1" x14ac:dyDescent="0.25">
      <c r="A7" s="1"/>
      <c r="B7" s="1"/>
      <c r="C7" s="3"/>
      <c r="D7" s="83"/>
      <c r="E7" s="83"/>
      <c r="F7" s="83"/>
      <c r="G7" s="83"/>
      <c r="H7" s="3"/>
      <c r="I7" s="1"/>
    </row>
    <row r="8" spans="1:9" ht="15.75" x14ac:dyDescent="0.25">
      <c r="A8" s="1"/>
      <c r="B8" s="1"/>
      <c r="C8" s="4"/>
      <c r="D8" s="85" t="s">
        <v>253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0" t="s">
        <v>163</v>
      </c>
      <c r="E13" s="81"/>
      <c r="F13" s="81"/>
      <c r="G13" s="82"/>
      <c r="H13" s="1"/>
      <c r="I13" s="1"/>
    </row>
    <row r="14" spans="1:9" x14ac:dyDescent="0.25">
      <c r="A14" s="1"/>
      <c r="B14" s="1"/>
      <c r="C14" s="6" t="s">
        <v>15</v>
      </c>
      <c r="D14" s="80" t="s">
        <v>83</v>
      </c>
      <c r="E14" s="81"/>
      <c r="F14" s="81"/>
      <c r="G14" s="82"/>
      <c r="H14" s="1"/>
      <c r="I14" s="1"/>
    </row>
    <row r="15" spans="1:9" x14ac:dyDescent="0.25">
      <c r="A15" s="1"/>
      <c r="B15" s="1"/>
      <c r="C15" s="6" t="s">
        <v>35</v>
      </c>
      <c r="D15" s="80" t="s">
        <v>128</v>
      </c>
      <c r="E15" s="81"/>
      <c r="F15" s="81"/>
      <c r="G15" s="82"/>
      <c r="H15" s="1"/>
      <c r="I15" s="1"/>
    </row>
    <row r="16" spans="1:9" x14ac:dyDescent="0.25">
      <c r="A16" s="1"/>
      <c r="B16" s="1"/>
      <c r="C16" s="6" t="s">
        <v>36</v>
      </c>
      <c r="D16" s="80" t="s">
        <v>180</v>
      </c>
      <c r="E16" s="81"/>
      <c r="F16" s="81"/>
      <c r="G16" s="82"/>
      <c r="H16" s="1"/>
      <c r="I16" s="1"/>
    </row>
    <row r="17" spans="1:9" x14ac:dyDescent="0.25">
      <c r="A17" s="1"/>
      <c r="B17" s="1"/>
      <c r="C17" s="6" t="s">
        <v>127</v>
      </c>
      <c r="D17" s="80" t="s">
        <v>181</v>
      </c>
      <c r="E17" s="81"/>
      <c r="F17" s="81"/>
      <c r="G17" s="82"/>
      <c r="H17" s="1"/>
      <c r="I17" s="1"/>
    </row>
    <row r="18" spans="1:9" x14ac:dyDescent="0.25">
      <c r="A18" s="1"/>
      <c r="B18" s="1"/>
      <c r="C18" s="32" t="s">
        <v>111</v>
      </c>
      <c r="D18" s="86" t="s">
        <v>100</v>
      </c>
      <c r="E18" s="87"/>
      <c r="F18" s="87"/>
      <c r="G18" s="88"/>
      <c r="H18" s="1"/>
      <c r="I18" s="1"/>
    </row>
    <row r="19" spans="1:9" x14ac:dyDescent="0.25">
      <c r="A19" s="1"/>
      <c r="B19" s="1"/>
      <c r="C19" s="32" t="s">
        <v>112</v>
      </c>
      <c r="D19" s="86" t="s">
        <v>101</v>
      </c>
      <c r="E19" s="87"/>
      <c r="F19" s="87"/>
      <c r="G19" s="88"/>
      <c r="H19" s="1"/>
      <c r="I19" s="1"/>
    </row>
    <row r="20" spans="1:9" x14ac:dyDescent="0.25">
      <c r="A20" s="1"/>
      <c r="B20" s="1"/>
      <c r="C20" s="32" t="s">
        <v>7</v>
      </c>
      <c r="D20" s="86" t="s">
        <v>9</v>
      </c>
      <c r="E20" s="87"/>
      <c r="F20" s="87"/>
      <c r="G20" s="88"/>
      <c r="H20" s="1"/>
      <c r="I20" s="1"/>
    </row>
    <row r="21" spans="1:9" x14ac:dyDescent="0.25">
      <c r="A21" s="1"/>
      <c r="B21" s="1"/>
      <c r="C21" s="6" t="s">
        <v>113</v>
      </c>
      <c r="D21" s="77" t="s">
        <v>12</v>
      </c>
      <c r="E21" s="78"/>
      <c r="F21" s="78"/>
      <c r="G21" s="79"/>
      <c r="H21" s="1"/>
      <c r="I21" s="1"/>
    </row>
    <row r="22" spans="1:9" x14ac:dyDescent="0.25">
      <c r="A22" s="1"/>
      <c r="B22" s="1"/>
      <c r="C22" s="6" t="s">
        <v>87</v>
      </c>
      <c r="D22" s="71" t="s">
        <v>182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8</v>
      </c>
      <c r="D23" s="71" t="s">
        <v>37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170</v>
      </c>
      <c r="D24" s="71" t="s">
        <v>88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171</v>
      </c>
      <c r="D25" s="71" t="s">
        <v>89</v>
      </c>
      <c r="E25" s="72"/>
      <c r="F25" s="72"/>
      <c r="G25" s="73"/>
      <c r="H25" s="1"/>
      <c r="I25" s="1"/>
    </row>
    <row r="26" spans="1:9" x14ac:dyDescent="0.25">
      <c r="A26" s="1"/>
      <c r="B26" s="1"/>
      <c r="C26" s="6" t="s">
        <v>172</v>
      </c>
      <c r="D26" s="71" t="s">
        <v>129</v>
      </c>
      <c r="E26" s="72"/>
      <c r="F26" s="72"/>
      <c r="G26" s="73"/>
      <c r="H26" s="1"/>
      <c r="I26" s="1"/>
    </row>
    <row r="27" spans="1:9" x14ac:dyDescent="0.25">
      <c r="A27" s="1"/>
      <c r="B27" s="1"/>
      <c r="C27" s="6" t="s">
        <v>114</v>
      </c>
      <c r="D27" s="71" t="s">
        <v>38</v>
      </c>
      <c r="E27" s="72"/>
      <c r="F27" s="72"/>
      <c r="G27" s="73"/>
      <c r="H27" s="1"/>
      <c r="I27" s="1"/>
    </row>
    <row r="28" spans="1:9" x14ac:dyDescent="0.25">
      <c r="A28" s="1"/>
      <c r="B28" s="1"/>
      <c r="C28" s="6" t="s">
        <v>108</v>
      </c>
      <c r="D28" s="74" t="s">
        <v>109</v>
      </c>
      <c r="E28" s="75"/>
      <c r="F28" s="75"/>
      <c r="G28" s="76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pJiuxVfhVht1vxDLIjOPumv/8JXObZpQB78Q3EOVYJFDkHrJVXBewxXMIeVpIhqau8iJV/sQGhZQBmPrW2RBcQ==" saltValue="DKLlJSv5A0+rg/GaS14b1A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2" t="s">
        <v>202</v>
      </c>
      <c r="C8" s="113"/>
      <c r="D8" s="114"/>
      <c r="E8" s="1"/>
      <c r="F8" s="1"/>
    </row>
    <row r="9" spans="1:6" ht="15" customHeight="1" x14ac:dyDescent="0.25">
      <c r="A9" s="1"/>
      <c r="B9" s="48" t="s">
        <v>33</v>
      </c>
      <c r="C9" s="11" t="s">
        <v>203</v>
      </c>
      <c r="D9" s="11"/>
      <c r="E9" s="1"/>
      <c r="F9" s="1"/>
    </row>
    <row r="10" spans="1:6" ht="15" customHeight="1" x14ac:dyDescent="0.25">
      <c r="A10" s="1"/>
      <c r="B10" s="63" t="s">
        <v>227</v>
      </c>
      <c r="C10" s="9">
        <v>12445482.140000001</v>
      </c>
      <c r="D10" s="14" t="s">
        <v>3</v>
      </c>
      <c r="E10" s="1"/>
      <c r="F10" s="1"/>
    </row>
    <row r="11" spans="1:6" ht="15" customHeight="1" x14ac:dyDescent="0.25">
      <c r="A11" s="1"/>
      <c r="B11" s="63" t="s">
        <v>228</v>
      </c>
      <c r="C11" s="9">
        <v>40831.199999999997</v>
      </c>
      <c r="D11" s="14" t="s">
        <v>3</v>
      </c>
      <c r="E11" s="1"/>
      <c r="F11" s="1"/>
    </row>
    <row r="12" spans="1:6" x14ac:dyDescent="0.25">
      <c r="A12" s="1"/>
      <c r="B12" s="63" t="s">
        <v>229</v>
      </c>
      <c r="C12" s="9">
        <v>76848.44</v>
      </c>
      <c r="D12" s="14" t="s">
        <v>3</v>
      </c>
      <c r="E12" s="1"/>
      <c r="F12" s="1"/>
    </row>
    <row r="13" spans="1:6" x14ac:dyDescent="0.25">
      <c r="A13" s="1"/>
      <c r="B13" s="63" t="s">
        <v>230</v>
      </c>
      <c r="C13" s="9">
        <v>14393.5</v>
      </c>
      <c r="D13" s="14" t="s">
        <v>3</v>
      </c>
      <c r="E13" s="1"/>
      <c r="F13" s="1"/>
    </row>
    <row r="14" spans="1:6" x14ac:dyDescent="0.25">
      <c r="A14" s="1"/>
      <c r="B14" s="63" t="s">
        <v>231</v>
      </c>
      <c r="C14" s="9">
        <v>146950.70000000001</v>
      </c>
      <c r="D14" s="14" t="s">
        <v>3</v>
      </c>
      <c r="E14" s="1"/>
      <c r="F14" s="1"/>
    </row>
    <row r="15" spans="1:6" x14ac:dyDescent="0.25">
      <c r="A15" s="1"/>
      <c r="B15" s="51" t="s">
        <v>204</v>
      </c>
      <c r="C15" s="12">
        <f>SUM(C10:C14)</f>
        <v>12724505.979999999</v>
      </c>
      <c r="D15" s="13" t="s">
        <v>3</v>
      </c>
      <c r="E15" s="1"/>
      <c r="F15" s="1"/>
    </row>
    <row r="16" spans="1:6" x14ac:dyDescent="0.25">
      <c r="A16" s="1"/>
      <c r="B16" s="51" t="s">
        <v>205</v>
      </c>
      <c r="C16" s="12">
        <f>C15*(1+'Fane 12. Nøgletal'!C14)^2</f>
        <v>12808626.289338123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XiQK4RagxJceWFqWQ54p6nMiAeEGwhMgQEWePXyK0UvrMqcOLYnDjISpTcRwN2ekV1yE4zE+MHlKa1zr5USJSA==" saltValue="b8CweYJu4ZKgB2CW+S5M0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7" t="s">
        <v>220</v>
      </c>
      <c r="C3" s="97"/>
      <c r="D3" s="97"/>
      <c r="E3" s="97"/>
      <c r="F3" s="97"/>
      <c r="G3" s="1"/>
    </row>
    <row r="4" spans="1:7" ht="15" customHeight="1" x14ac:dyDescent="0.25">
      <c r="A4" s="1"/>
      <c r="B4" s="97"/>
      <c r="C4" s="97"/>
      <c r="D4" s="97"/>
      <c r="E4" s="97"/>
      <c r="F4" s="97"/>
      <c r="G4" s="1"/>
    </row>
    <row r="5" spans="1:7" ht="15" customHeight="1" x14ac:dyDescent="0.25">
      <c r="A5" s="1"/>
      <c r="B5" s="55"/>
      <c r="C5" s="55"/>
      <c r="D5" s="55"/>
      <c r="E5" s="55"/>
      <c r="F5" s="55"/>
      <c r="G5" s="1"/>
    </row>
    <row r="6" spans="1:7" ht="15" customHeight="1" x14ac:dyDescent="0.25">
      <c r="A6" s="1"/>
      <c r="B6" s="55"/>
      <c r="C6" s="55"/>
      <c r="D6" s="55"/>
      <c r="E6" s="55"/>
      <c r="F6" s="55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233</v>
      </c>
      <c r="C8" s="113"/>
      <c r="D8" s="113"/>
      <c r="E8" s="113"/>
      <c r="F8" s="114"/>
      <c r="G8" s="1"/>
    </row>
    <row r="9" spans="1:7" x14ac:dyDescent="0.25">
      <c r="A9" s="1"/>
      <c r="B9" s="115" t="s">
        <v>234</v>
      </c>
      <c r="C9" s="116"/>
      <c r="D9" s="117"/>
      <c r="E9" s="9">
        <v>8655753.0717550218</v>
      </c>
      <c r="F9" s="14" t="s">
        <v>3</v>
      </c>
      <c r="G9" s="1"/>
    </row>
    <row r="10" spans="1:7" x14ac:dyDescent="0.25">
      <c r="A10" s="1"/>
      <c r="B10" s="115" t="s">
        <v>235</v>
      </c>
      <c r="C10" s="116"/>
      <c r="D10" s="117"/>
      <c r="E10" s="9">
        <v>4455152.4931914508</v>
      </c>
      <c r="F10" s="14" t="s">
        <v>3</v>
      </c>
      <c r="G10" s="1"/>
    </row>
    <row r="11" spans="1:7" x14ac:dyDescent="0.25">
      <c r="A11" s="1"/>
      <c r="B11" s="115" t="s">
        <v>236</v>
      </c>
      <c r="C11" s="116"/>
      <c r="D11" s="117"/>
      <c r="E11" s="9">
        <v>2658310.3872439601</v>
      </c>
      <c r="F11" s="14" t="s">
        <v>3</v>
      </c>
      <c r="G11" s="1"/>
    </row>
    <row r="12" spans="1:7" x14ac:dyDescent="0.25">
      <c r="A12" s="1"/>
      <c r="B12" s="115" t="s">
        <v>237</v>
      </c>
      <c r="C12" s="116"/>
      <c r="D12" s="117"/>
      <c r="E12" s="9">
        <f>IF(OR(AND(E10&gt;0,E11&lt;0),AND(E11&lt;0,E34&gt;0)),E17+E18,E11)</f>
        <v>2658310.3872439601</v>
      </c>
      <c r="F12" s="14" t="s">
        <v>3</v>
      </c>
      <c r="G12" s="1"/>
    </row>
    <row r="13" spans="1:7" x14ac:dyDescent="0.25">
      <c r="A13" s="1"/>
      <c r="B13" s="51"/>
      <c r="C13" s="52"/>
      <c r="D13" s="52"/>
      <c r="E13" s="52"/>
      <c r="F13" s="20"/>
      <c r="G13" s="1"/>
    </row>
    <row r="14" spans="1:7" ht="54.75" customHeight="1" x14ac:dyDescent="0.25">
      <c r="A14" s="1"/>
      <c r="B14" s="101" t="s">
        <v>238</v>
      </c>
      <c r="C14" s="102"/>
      <c r="D14" s="102"/>
      <c r="E14" s="102"/>
      <c r="F14" s="10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239</v>
      </c>
      <c r="C16" s="113"/>
      <c r="D16" s="113"/>
      <c r="E16" s="113"/>
      <c r="F16" s="114"/>
      <c r="G16" s="1"/>
    </row>
    <row r="17" spans="1:7" x14ac:dyDescent="0.25">
      <c r="A17" s="1"/>
      <c r="B17" s="115" t="s">
        <v>240</v>
      </c>
      <c r="C17" s="116"/>
      <c r="D17" s="117"/>
      <c r="E17" s="9">
        <v>0</v>
      </c>
      <c r="F17" s="14" t="s">
        <v>3</v>
      </c>
      <c r="G17" s="1"/>
    </row>
    <row r="18" spans="1:7" x14ac:dyDescent="0.25">
      <c r="A18" s="1"/>
      <c r="B18" s="115" t="s">
        <v>241</v>
      </c>
      <c r="C18" s="116"/>
      <c r="D18" s="117"/>
      <c r="E18" s="9">
        <v>0</v>
      </c>
      <c r="F18" s="14" t="s">
        <v>3</v>
      </c>
      <c r="G18" s="1"/>
    </row>
    <row r="19" spans="1:7" x14ac:dyDescent="0.25">
      <c r="A19" s="1"/>
      <c r="B19" s="51"/>
      <c r="C19" s="52"/>
      <c r="D19" s="52"/>
      <c r="E19" s="52"/>
      <c r="F19" s="20"/>
      <c r="G19" s="1"/>
    </row>
    <row r="20" spans="1:7" ht="30" customHeight="1" x14ac:dyDescent="0.25">
      <c r="A20" s="1"/>
      <c r="B20" s="101" t="s">
        <v>242</v>
      </c>
      <c r="C20" s="102"/>
      <c r="D20" s="102"/>
      <c r="E20" s="102"/>
      <c r="F20" s="10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60" t="s">
        <v>206</v>
      </c>
      <c r="C22" s="61"/>
      <c r="D22" s="61"/>
      <c r="E22" s="61"/>
      <c r="F22" s="62"/>
      <c r="G22" s="1"/>
    </row>
    <row r="23" spans="1:7" x14ac:dyDescent="0.25">
      <c r="A23" s="1"/>
      <c r="B23" s="57" t="s">
        <v>207</v>
      </c>
      <c r="C23" s="58"/>
      <c r="D23" s="59"/>
      <c r="E23" s="9">
        <v>31997771.002319805</v>
      </c>
      <c r="F23" s="14" t="s">
        <v>3</v>
      </c>
      <c r="G23" s="1"/>
    </row>
    <row r="24" spans="1:7" x14ac:dyDescent="0.25">
      <c r="A24" s="1"/>
      <c r="B24" s="57" t="s">
        <v>208</v>
      </c>
      <c r="C24" s="58"/>
      <c r="D24" s="59"/>
      <c r="E24" s="9">
        <v>29039614.220000003</v>
      </c>
      <c r="F24" s="14" t="s">
        <v>3</v>
      </c>
      <c r="G24" s="1"/>
    </row>
    <row r="25" spans="1:7" x14ac:dyDescent="0.25">
      <c r="A25" s="1"/>
      <c r="B25" s="57" t="s">
        <v>34</v>
      </c>
      <c r="C25" s="58"/>
      <c r="D25" s="59"/>
      <c r="E25" s="9">
        <v>0</v>
      </c>
      <c r="F25" s="14" t="s">
        <v>3</v>
      </c>
      <c r="G25" s="1"/>
    </row>
    <row r="26" spans="1:7" x14ac:dyDescent="0.25">
      <c r="A26" s="1"/>
      <c r="B26" s="64" t="s">
        <v>250</v>
      </c>
      <c r="C26" s="65"/>
      <c r="D26" s="66"/>
      <c r="E26" s="45">
        <f>E23-(E24-E25)</f>
        <v>2958156.7823198028</v>
      </c>
      <c r="F26" s="17" t="s">
        <v>3</v>
      </c>
      <c r="G26" s="1"/>
    </row>
    <row r="27" spans="1:7" x14ac:dyDescent="0.25">
      <c r="A27" s="1"/>
      <c r="B27" s="51"/>
      <c r="C27" s="52"/>
      <c r="D27" s="52"/>
      <c r="E27" s="5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243</v>
      </c>
      <c r="C29" s="113"/>
      <c r="D29" s="113"/>
      <c r="E29" s="113"/>
      <c r="F29" s="114"/>
      <c r="G29" s="1"/>
    </row>
    <row r="30" spans="1:7" x14ac:dyDescent="0.25">
      <c r="A30" s="1"/>
      <c r="B30" s="133" t="s">
        <v>244</v>
      </c>
      <c r="C30" s="134"/>
      <c r="D30" s="135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2"/>
      <c r="C31" s="113"/>
      <c r="D31" s="113"/>
      <c r="E31" s="113"/>
      <c r="F31" s="114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2" t="s">
        <v>245</v>
      </c>
      <c r="C33" s="113"/>
      <c r="D33" s="113"/>
      <c r="E33" s="113"/>
      <c r="F33" s="114"/>
      <c r="G33" s="1"/>
    </row>
    <row r="34" spans="1:7" x14ac:dyDescent="0.25">
      <c r="A34" s="1"/>
      <c r="B34" s="137" t="s">
        <v>251</v>
      </c>
      <c r="C34" s="138"/>
      <c r="D34" s="139"/>
      <c r="E34" s="9">
        <v>3</v>
      </c>
      <c r="F34" s="14"/>
      <c r="G34" s="1"/>
    </row>
    <row r="35" spans="1:7" x14ac:dyDescent="0.25">
      <c r="A35" s="1"/>
      <c r="B35" s="137" t="s">
        <v>161</v>
      </c>
      <c r="C35" s="138"/>
      <c r="D35" s="139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7" t="s">
        <v>110</v>
      </c>
      <c r="C36" s="138"/>
      <c r="D36" s="139"/>
      <c r="E36" s="9">
        <v>4</v>
      </c>
      <c r="F36" s="14" t="s">
        <v>19</v>
      </c>
      <c r="G36" s="1"/>
    </row>
    <row r="37" spans="1:7" x14ac:dyDescent="0.25">
      <c r="A37" s="1"/>
      <c r="B37" s="136" t="s">
        <v>160</v>
      </c>
      <c r="C37" s="136"/>
      <c r="D37" s="136"/>
      <c r="E37" s="10">
        <f>E35/E36</f>
        <v>0</v>
      </c>
      <c r="F37" s="17" t="s">
        <v>3</v>
      </c>
      <c r="G37" s="1"/>
    </row>
    <row r="38" spans="1:7" x14ac:dyDescent="0.25">
      <c r="A38" s="1"/>
      <c r="B38" s="130"/>
      <c r="C38" s="131"/>
      <c r="D38" s="131"/>
      <c r="E38" s="131"/>
      <c r="F38" s="132"/>
      <c r="G38" s="1"/>
    </row>
    <row r="39" spans="1:7" ht="75" customHeight="1" x14ac:dyDescent="0.25">
      <c r="A39" s="1"/>
      <c r="B39" s="101" t="s">
        <v>249</v>
      </c>
      <c r="C39" s="102"/>
      <c r="D39" s="102"/>
      <c r="E39" s="102"/>
      <c r="F39" s="10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Hw8XXjB3XhHaZ4LjyUU49kaB4Cr1MFzSm19zu31xTP2WafNBCKWfe5GqAqGh893o/Hl7RvX+L1N5wWhIIJoiYw==" saltValue="obsRh6dFIAY+lmdAVu5npQ==" spinCount="100000" sheet="1" objects="1" scenarios="1"/>
  <mergeCells count="21">
    <mergeCell ref="B31:F31"/>
    <mergeCell ref="B33:F33"/>
    <mergeCell ref="B34:D34"/>
    <mergeCell ref="B35:D35"/>
    <mergeCell ref="B36:D36"/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157</v>
      </c>
      <c r="C8" s="113"/>
      <c r="D8" s="113"/>
      <c r="E8" s="113"/>
      <c r="F8" s="113"/>
      <c r="G8" s="113"/>
      <c r="H8" s="114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4"/>
      <c r="I9" s="1"/>
    </row>
    <row r="10" spans="1:9" x14ac:dyDescent="0.25">
      <c r="A10" s="1"/>
      <c r="B10" s="68" t="s">
        <v>252</v>
      </c>
      <c r="C10" s="6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2" t="s">
        <v>158</v>
      </c>
      <c r="C11" s="113"/>
      <c r="D11" s="114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mpCag0x2FySd7vk56N+k14PdcTOIXqzg9yKexdnzEQvuOQF/4+62ueMHMWyTiHUrgpRSAudj1OIFQDLTl1PADA==" saltValue="2Ik88rqvam0wfqfxH5H6U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1" t="s">
        <v>84</v>
      </c>
      <c r="C8" s="52"/>
      <c r="D8" s="52"/>
      <c r="E8" s="52"/>
      <c r="F8" s="20"/>
      <c r="G8" s="1"/>
    </row>
    <row r="9" spans="1:7" ht="17.25" customHeight="1" x14ac:dyDescent="0.25">
      <c r="A9" s="1"/>
      <c r="B9" s="49" t="s">
        <v>16</v>
      </c>
      <c r="C9" s="49" t="s">
        <v>11</v>
      </c>
      <c r="D9" s="50"/>
      <c r="E9" s="49" t="s">
        <v>32</v>
      </c>
      <c r="F9" s="54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51" t="s">
        <v>136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1" t="s">
        <v>209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udRoeXY1nBWH2RvBhrffNJFaXhrZHFQ5KZ4P1L3+rP9JC7ymshioQom3wji77TBwyMtKQw+NOAuy7z/eAJ9AdQ==" saltValue="Eg4CvOqHuLrB0UiILEPsw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102</v>
      </c>
      <c r="C8" s="113"/>
      <c r="D8" s="113"/>
      <c r="E8" s="113"/>
      <c r="F8" s="114"/>
      <c r="G8" s="1"/>
    </row>
    <row r="9" spans="1:7" x14ac:dyDescent="0.25">
      <c r="A9" s="1"/>
      <c r="B9" s="49" t="s">
        <v>16</v>
      </c>
      <c r="C9" s="49" t="s">
        <v>11</v>
      </c>
      <c r="D9" s="50"/>
      <c r="E9" s="49" t="s">
        <v>32</v>
      </c>
      <c r="F9" s="54"/>
      <c r="G9" s="1"/>
    </row>
    <row r="10" spans="1:7" x14ac:dyDescent="0.25">
      <c r="A10" s="1"/>
      <c r="B10" s="25" t="s">
        <v>248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1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1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103</v>
      </c>
      <c r="C16" s="113"/>
      <c r="D16" s="113"/>
      <c r="E16" s="113"/>
      <c r="F16" s="114"/>
      <c r="G16" s="1"/>
    </row>
    <row r="17" spans="1:7" x14ac:dyDescent="0.25">
      <c r="A17" s="1"/>
      <c r="B17" s="49" t="s">
        <v>16</v>
      </c>
      <c r="C17" s="49" t="s">
        <v>11</v>
      </c>
      <c r="D17" s="50"/>
      <c r="E17" s="49" t="s">
        <v>32</v>
      </c>
      <c r="F17" s="54"/>
      <c r="G17" s="1"/>
    </row>
    <row r="18" spans="1:7" x14ac:dyDescent="0.25">
      <c r="A18" s="1"/>
      <c r="B18" s="25" t="s">
        <v>248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1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1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2" t="s">
        <v>138</v>
      </c>
      <c r="C24" s="113"/>
      <c r="D24" s="113"/>
      <c r="E24" s="113"/>
      <c r="F24" s="114"/>
      <c r="G24" s="1"/>
    </row>
    <row r="25" spans="1:7" x14ac:dyDescent="0.25">
      <c r="A25" s="1"/>
      <c r="B25" s="49" t="s">
        <v>16</v>
      </c>
      <c r="C25" s="49" t="s">
        <v>11</v>
      </c>
      <c r="D25" s="50"/>
      <c r="E25" s="49" t="s">
        <v>32</v>
      </c>
      <c r="F25" s="54"/>
      <c r="G25" s="1"/>
    </row>
    <row r="26" spans="1:7" x14ac:dyDescent="0.25">
      <c r="A26" s="1"/>
      <c r="B26" s="25" t="s">
        <v>248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1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1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2" t="s">
        <v>211</v>
      </c>
      <c r="C32" s="113"/>
      <c r="D32" s="113"/>
      <c r="E32" s="113"/>
      <c r="F32" s="114"/>
      <c r="G32" s="1"/>
    </row>
    <row r="33" spans="1:7" x14ac:dyDescent="0.25">
      <c r="A33" s="1"/>
      <c r="B33" s="49" t="s">
        <v>16</v>
      </c>
      <c r="C33" s="49" t="s">
        <v>11</v>
      </c>
      <c r="D33" s="50"/>
      <c r="E33" s="49" t="s">
        <v>32</v>
      </c>
      <c r="F33" s="54"/>
      <c r="G33" s="1"/>
    </row>
    <row r="34" spans="1:7" x14ac:dyDescent="0.25">
      <c r="A34" s="1"/>
      <c r="B34" s="25" t="s">
        <v>248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1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1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RizI3QWtiUxZtT6OhTToVLlq0NYJzgPbd3kOEEyL3e3D6w3q9crh+ZAOgwlwr+atsEZK3s8TORoLNq6UJZHJrA==" saltValue="8bEpxg87VvlZYd+mZzjRu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166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130</v>
      </c>
      <c r="C8" s="113"/>
      <c r="D8" s="113"/>
      <c r="E8" s="113"/>
      <c r="F8" s="114"/>
      <c r="G8" s="1"/>
    </row>
    <row r="9" spans="1:7" ht="15" customHeight="1" x14ac:dyDescent="0.25">
      <c r="A9" s="1"/>
      <c r="B9" s="53" t="s">
        <v>131</v>
      </c>
      <c r="C9" s="107" t="s">
        <v>11</v>
      </c>
      <c r="D9" s="109"/>
      <c r="E9" s="107" t="s">
        <v>32</v>
      </c>
      <c r="F9" s="109"/>
      <c r="G9" s="1"/>
    </row>
    <row r="10" spans="1:7" x14ac:dyDescent="0.2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/25IJHDbV0+n9wz0zZAucBHLGWTZP7r6HFiD1oyC+dNpQAtGLGWV60M6DCSktMdVjd4RmzTQrOzoiv4MM6VNVA==" saltValue="tKuFDL0J2IyanEvV3CCqK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165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98</v>
      </c>
      <c r="C8" s="113"/>
      <c r="D8" s="113"/>
      <c r="E8" s="113"/>
      <c r="F8" s="114"/>
      <c r="G8" s="1"/>
    </row>
    <row r="9" spans="1:7" ht="15" customHeight="1" x14ac:dyDescent="0.25">
      <c r="A9" s="1"/>
      <c r="B9" s="53" t="s">
        <v>17</v>
      </c>
      <c r="C9" s="53" t="s">
        <v>11</v>
      </c>
      <c r="D9" s="54"/>
      <c r="E9" s="53" t="s">
        <v>32</v>
      </c>
      <c r="F9" s="54"/>
      <c r="G9" s="1"/>
    </row>
    <row r="10" spans="1:7" x14ac:dyDescent="0.25">
      <c r="A10" s="1"/>
      <c r="B10" s="25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1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1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2" t="s">
        <v>99</v>
      </c>
      <c r="C15" s="113"/>
      <c r="D15" s="113"/>
      <c r="E15" s="113"/>
      <c r="F15" s="114"/>
      <c r="G15" s="1"/>
    </row>
    <row r="16" spans="1:7" ht="26.25" x14ac:dyDescent="0.25">
      <c r="A16" s="1"/>
      <c r="B16" s="53" t="s">
        <v>17</v>
      </c>
      <c r="C16" s="53" t="s">
        <v>11</v>
      </c>
      <c r="D16" s="54"/>
      <c r="E16" s="53" t="s">
        <v>32</v>
      </c>
      <c r="F16" s="54"/>
      <c r="G16" s="1"/>
    </row>
    <row r="17" spans="1:7" x14ac:dyDescent="0.25">
      <c r="A17" s="1"/>
      <c r="B17" s="25" t="s">
        <v>232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1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1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2" t="s">
        <v>142</v>
      </c>
      <c r="C22" s="113"/>
      <c r="D22" s="113"/>
      <c r="E22" s="113"/>
      <c r="F22" s="114"/>
      <c r="G22" s="1"/>
    </row>
    <row r="23" spans="1:7" ht="26.25" x14ac:dyDescent="0.25">
      <c r="A23" s="1"/>
      <c r="B23" s="53" t="s">
        <v>17</v>
      </c>
      <c r="C23" s="53" t="s">
        <v>11</v>
      </c>
      <c r="D23" s="54"/>
      <c r="E23" s="53" t="s">
        <v>32</v>
      </c>
      <c r="F23" s="54"/>
      <c r="G23" s="1"/>
    </row>
    <row r="24" spans="1:7" x14ac:dyDescent="0.25">
      <c r="A24" s="1"/>
      <c r="B24" s="25" t="s">
        <v>232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1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1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214</v>
      </c>
      <c r="C29" s="113"/>
      <c r="D29" s="113"/>
      <c r="E29" s="113"/>
      <c r="F29" s="114"/>
      <c r="G29" s="1"/>
    </row>
    <row r="30" spans="1:7" ht="26.25" x14ac:dyDescent="0.25">
      <c r="A30" s="1"/>
      <c r="B30" s="53" t="s">
        <v>17</v>
      </c>
      <c r="C30" s="53" t="s">
        <v>11</v>
      </c>
      <c r="D30" s="54"/>
      <c r="E30" s="53" t="s">
        <v>32</v>
      </c>
      <c r="F30" s="54"/>
      <c r="G30" s="1"/>
    </row>
    <row r="31" spans="1:7" x14ac:dyDescent="0.25">
      <c r="A31" s="1"/>
      <c r="B31" s="25" t="s">
        <v>232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1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1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p3+D0nhdJOLG4+65kCMv+MFUm1t+UYY6v9aqwKTsnbiFuBB7IwygXYyPQsmIHtClZX1oZjYtU2Ih6eRwDqU/tw==" saltValue="QjWrTzgeDU+1Hj96+8yhG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7" t="s">
        <v>164</v>
      </c>
      <c r="C3" s="97"/>
      <c r="D3" s="1"/>
    </row>
    <row r="4" spans="1:4" ht="25.5" customHeight="1" x14ac:dyDescent="0.25">
      <c r="A4" s="1"/>
      <c r="B4" s="97"/>
      <c r="C4" s="9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1" t="s">
        <v>14</v>
      </c>
      <c r="C8" s="20"/>
      <c r="D8" s="1"/>
    </row>
    <row r="9" spans="1:4" x14ac:dyDescent="0.25">
      <c r="A9" s="1"/>
      <c r="B9" s="63" t="s">
        <v>118</v>
      </c>
      <c r="C9" s="26">
        <v>1.2699999999999999E-2</v>
      </c>
      <c r="D9" s="1"/>
    </row>
    <row r="10" spans="1:4" x14ac:dyDescent="0.25">
      <c r="A10" s="1"/>
      <c r="B10" s="63" t="s">
        <v>22</v>
      </c>
      <c r="C10" s="26">
        <v>1.7500000000000002E-2</v>
      </c>
      <c r="D10" s="1"/>
    </row>
    <row r="11" spans="1:4" x14ac:dyDescent="0.25">
      <c r="A11" s="1"/>
      <c r="B11" s="63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70">
        <v>3.3E-3</v>
      </c>
      <c r="D14" s="1"/>
    </row>
    <row r="15" spans="1:4" x14ac:dyDescent="0.25">
      <c r="A15" s="1"/>
      <c r="B15" s="112"/>
      <c r="C15" s="114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1" t="s">
        <v>106</v>
      </c>
      <c r="C18" s="20"/>
      <c r="D18" s="1"/>
    </row>
    <row r="19" spans="1:4" x14ac:dyDescent="0.25">
      <c r="A19" s="1"/>
      <c r="B19" s="63" t="s">
        <v>120</v>
      </c>
      <c r="C19" s="23">
        <v>9.1000000000000004E-3</v>
      </c>
      <c r="D19" s="1"/>
    </row>
    <row r="20" spans="1:4" x14ac:dyDescent="0.25">
      <c r="A20" s="1"/>
      <c r="B20" s="63" t="s">
        <v>121</v>
      </c>
      <c r="C20" s="23">
        <v>1.77E-2</v>
      </c>
      <c r="D20" s="1"/>
    </row>
    <row r="21" spans="1:4" x14ac:dyDescent="0.25">
      <c r="A21" s="1"/>
      <c r="B21" s="63" t="s">
        <v>122</v>
      </c>
      <c r="C21" s="23">
        <v>8.6999999999999994E-3</v>
      </c>
      <c r="D21" s="1"/>
    </row>
    <row r="22" spans="1:4" x14ac:dyDescent="0.25">
      <c r="A22" s="1"/>
      <c r="B22" s="63" t="s">
        <v>123</v>
      </c>
      <c r="C22" s="35">
        <v>2.8400000000000002E-2</v>
      </c>
      <c r="D22" s="1"/>
    </row>
    <row r="23" spans="1:4" x14ac:dyDescent="0.25">
      <c r="A23" s="1"/>
      <c r="B23" s="63" t="s">
        <v>146</v>
      </c>
      <c r="C23" s="35">
        <v>2.75E-2</v>
      </c>
      <c r="D23" s="1"/>
    </row>
    <row r="24" spans="1:4" x14ac:dyDescent="0.25">
      <c r="A24" s="1"/>
      <c r="B24" s="63" t="s">
        <v>217</v>
      </c>
      <c r="C24" s="35">
        <v>1.4800000000000001E-2</v>
      </c>
      <c r="D24" s="1"/>
    </row>
    <row r="25" spans="1:4" x14ac:dyDescent="0.25">
      <c r="A25" s="1"/>
      <c r="B25" s="51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1" t="s">
        <v>107</v>
      </c>
      <c r="C28" s="20"/>
      <c r="D28" s="1"/>
    </row>
    <row r="29" spans="1:4" x14ac:dyDescent="0.25">
      <c r="A29" s="1"/>
      <c r="B29" s="63" t="s">
        <v>124</v>
      </c>
      <c r="C29" s="26">
        <v>0.02</v>
      </c>
      <c r="D29" s="1"/>
    </row>
    <row r="30" spans="1:4" x14ac:dyDescent="0.25">
      <c r="A30" s="1"/>
      <c r="B30" s="51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EIqEPwR8Og35sKs28FuC/lZQ6AQatPS4ZjbXo2YdhdXjUzvzTqDw+gn93G2z1MdmD2lFqNmYmhrrTWXv5oGHVw==" saltValue="Kh87xFqZCxIfV9vZtKcRAg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183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1" t="s">
        <v>13</v>
      </c>
      <c r="C8" s="52"/>
      <c r="D8" s="20"/>
      <c r="E8" s="1"/>
    </row>
    <row r="9" spans="1:5" x14ac:dyDescent="0.25">
      <c r="A9" s="1"/>
      <c r="B9" s="56" t="s">
        <v>24</v>
      </c>
      <c r="C9" s="7">
        <f>'Fane 3. Omkostninger i ØR2021'!E20</f>
        <v>20168614.078080993</v>
      </c>
      <c r="D9" s="8" t="s">
        <v>3</v>
      </c>
      <c r="E9" s="1"/>
    </row>
    <row r="10" spans="1:5" x14ac:dyDescent="0.25">
      <c r="A10" s="1"/>
      <c r="B10" s="47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538896.26958189358</v>
      </c>
      <c r="D10" s="8" t="s">
        <v>3</v>
      </c>
      <c r="E10" s="1"/>
    </row>
    <row r="11" spans="1:5" x14ac:dyDescent="0.25">
      <c r="A11" s="1"/>
      <c r="B11" s="47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748396.1463198323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tillæg'!C12</f>
        <v>0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tillæg'!E12</f>
        <v>0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246057.09175258814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-87054.895890765169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-153834.16647007826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-359535.82271789538</v>
      </c>
      <c r="D21" s="8" t="s">
        <v>3</v>
      </c>
      <c r="E21" s="1"/>
    </row>
    <row r="22" spans="1:5" ht="17.100000000000001" customHeight="1" x14ac:dyDescent="0.25">
      <c r="A22" s="1"/>
      <c r="B22" s="64" t="s">
        <v>20</v>
      </c>
      <c r="C22" s="10">
        <f>SUM(C9,C12:C21)</f>
        <v>19814246.284754846</v>
      </c>
      <c r="D22" s="11" t="s">
        <v>3</v>
      </c>
      <c r="E22" s="1"/>
    </row>
    <row r="23" spans="1:5" ht="15" customHeight="1" x14ac:dyDescent="0.25">
      <c r="A23" s="1"/>
      <c r="B23" s="51" t="s">
        <v>12</v>
      </c>
      <c r="C23" s="52"/>
      <c r="D23" s="20"/>
      <c r="E23" s="1"/>
    </row>
    <row r="24" spans="1:5" ht="15" customHeight="1" x14ac:dyDescent="0.25">
      <c r="A24" s="1"/>
      <c r="B24" s="53" t="s">
        <v>12</v>
      </c>
      <c r="C24" s="10">
        <f>'Fane 6. Ikke-påvirkelige omk.'!C16</f>
        <v>12808626.289338123</v>
      </c>
      <c r="D24" s="11" t="s">
        <v>3</v>
      </c>
      <c r="E24" s="1"/>
    </row>
    <row r="25" spans="1:5" ht="15" customHeight="1" x14ac:dyDescent="0.25">
      <c r="A25" s="1"/>
      <c r="B25" s="51" t="s">
        <v>89</v>
      </c>
      <c r="C25" s="52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4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2"/>
      <c r="D29" s="20"/>
      <c r="E29" s="1"/>
    </row>
    <row r="30" spans="1:5" x14ac:dyDescent="0.25">
      <c r="A30" s="1"/>
      <c r="B30" s="67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224</v>
      </c>
      <c r="C31" s="52"/>
      <c r="D31" s="20"/>
      <c r="E31" s="1"/>
    </row>
    <row r="32" spans="1:5" x14ac:dyDescent="0.25">
      <c r="A32" s="1"/>
      <c r="B32" s="67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1" t="s">
        <v>30</v>
      </c>
      <c r="C33" s="31">
        <f>SUM(C22,C24,C28,C30,C32)</f>
        <v>32622872.574092969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X2wWsDzbY8o+9RhPPz3fc6OkaNvsnL5ne7aoggUx+PnbshJn+vfpLnFwOwrRSd7QWDZqUeIZykvn+SSJCJk4Sw==" saltValue="Ut55UjeVK5T5GI+tR9Q7B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1" t="s">
        <v>13</v>
      </c>
      <c r="C8" s="52"/>
      <c r="D8" s="20"/>
      <c r="E8" s="1"/>
    </row>
    <row r="9" spans="1:5" ht="15" customHeight="1" x14ac:dyDescent="0.25">
      <c r="A9" s="1"/>
      <c r="B9" s="56" t="s">
        <v>134</v>
      </c>
      <c r="C9" s="7">
        <f>'Fane 2.1. Økonomisk ramme 2022'!C22</f>
        <v>19814246.284754846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7" t="s">
        <v>18</v>
      </c>
      <c r="C12" s="9">
        <f>SUM(C9:C11)*'Fane 12. Nøgletal'!C14</f>
        <v>65387.012739690996</v>
      </c>
      <c r="D12" s="8" t="s">
        <v>3</v>
      </c>
      <c r="E12" s="1"/>
    </row>
    <row r="13" spans="1:5" ht="15" customHeight="1" x14ac:dyDescent="0.25">
      <c r="A13" s="1"/>
      <c r="B13" s="47" t="s">
        <v>9</v>
      </c>
      <c r="C13" s="9">
        <f>-SUM(C9:C12)*'Fane 5. Individuelt eff. krav'!G10</f>
        <v>-84773.317809658532</v>
      </c>
      <c r="D13" s="8" t="s">
        <v>3</v>
      </c>
      <c r="E13" s="1"/>
    </row>
    <row r="14" spans="1:5" ht="15" customHeight="1" x14ac:dyDescent="0.25">
      <c r="A14" s="1"/>
      <c r="B14" s="47" t="s">
        <v>25</v>
      </c>
      <c r="C14" s="9">
        <f>-'Fane 4.1. Gen. krav - drift'!G44</f>
        <v>-151254.98283504095</v>
      </c>
      <c r="D14" s="8" t="s">
        <v>3</v>
      </c>
      <c r="E14" s="1"/>
    </row>
    <row r="15" spans="1:5" ht="15" customHeight="1" x14ac:dyDescent="0.25">
      <c r="A15" s="1"/>
      <c r="B15" s="47" t="s">
        <v>26</v>
      </c>
      <c r="C15" s="9">
        <f>-'Fane 4.2. Gen. krav - anlæg'!G44</f>
        <v>-188795.48848715337</v>
      </c>
      <c r="D15" s="8" t="s">
        <v>3</v>
      </c>
      <c r="E15" s="1"/>
    </row>
    <row r="16" spans="1:5" ht="15" customHeight="1" x14ac:dyDescent="0.25">
      <c r="A16" s="1"/>
      <c r="B16" s="48" t="s">
        <v>20</v>
      </c>
      <c r="C16" s="10">
        <f>SUM(C9:C15)</f>
        <v>19454809.508362684</v>
      </c>
      <c r="D16" s="11" t="s">
        <v>3</v>
      </c>
      <c r="E16" s="1"/>
    </row>
    <row r="17" spans="1:5" x14ac:dyDescent="0.25">
      <c r="A17" s="1"/>
      <c r="B17" s="51" t="s">
        <v>12</v>
      </c>
      <c r="C17" s="52"/>
      <c r="D17" s="20"/>
      <c r="E17" s="1"/>
    </row>
    <row r="18" spans="1:5" ht="15" customHeight="1" x14ac:dyDescent="0.25">
      <c r="A18" s="1"/>
      <c r="B18" s="53" t="s">
        <v>12</v>
      </c>
      <c r="C18" s="10">
        <f>'Fane 6. Ikke-påvirkelige omk.'!C16*(1+'Fane 12. Nøgletal'!C14)</f>
        <v>12850894.75609294</v>
      </c>
      <c r="D18" s="11" t="s">
        <v>3</v>
      </c>
      <c r="E18" s="1"/>
    </row>
    <row r="19" spans="1:5" ht="15" customHeight="1" x14ac:dyDescent="0.25">
      <c r="A19" s="1"/>
      <c r="B19" s="51" t="s">
        <v>89</v>
      </c>
      <c r="C19" s="52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4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2"/>
      <c r="D23" s="20"/>
      <c r="E23" s="1"/>
    </row>
    <row r="24" spans="1:5" ht="15" customHeight="1" x14ac:dyDescent="0.25">
      <c r="A24" s="1"/>
      <c r="B24" s="67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224</v>
      </c>
      <c r="C25" s="52"/>
      <c r="D25" s="20"/>
      <c r="E25" s="1"/>
    </row>
    <row r="26" spans="1:5" x14ac:dyDescent="0.25">
      <c r="A26" s="1"/>
      <c r="B26" s="67" t="s">
        <v>225</v>
      </c>
      <c r="C26" s="10">
        <v>0</v>
      </c>
      <c r="D26" s="11" t="s">
        <v>3</v>
      </c>
      <c r="E26" s="1"/>
    </row>
    <row r="27" spans="1:5" x14ac:dyDescent="0.25">
      <c r="A27" s="1"/>
      <c r="B27" s="51" t="s">
        <v>97</v>
      </c>
      <c r="C27" s="12">
        <f>SUM(C16,C18,C22,C24,C26)</f>
        <v>32305704.264455624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s7laxdVsxOoEQpPfY+LAy8MbdBmeg214WocAQV64aH6GLLZrCpzma43G0EqKKTuOL/pKHjcujtTdOAu4ARFKCA==" saltValue="iLWWE8XvbmxHs3xKx6/UU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1" t="s">
        <v>13</v>
      </c>
      <c r="C7" s="52"/>
      <c r="D7" s="20"/>
      <c r="E7" s="1"/>
    </row>
    <row r="8" spans="1:5" ht="15" customHeight="1" x14ac:dyDescent="0.25">
      <c r="A8" s="1"/>
      <c r="B8" s="56" t="s">
        <v>135</v>
      </c>
      <c r="C8" s="7">
        <f>'Fane 2.2. Økonomisk ramme 2023'!C16</f>
        <v>19454809.508362684</v>
      </c>
      <c r="D8" s="8" t="s">
        <v>3</v>
      </c>
      <c r="E8" s="1"/>
    </row>
    <row r="9" spans="1:5" ht="15" customHeight="1" x14ac:dyDescent="0.25">
      <c r="A9" s="1"/>
      <c r="B9" s="56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6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64200.871377596857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-83235.50266192737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drift'!G50</f>
        <v>-148719.04179282868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43">
        <f>-'Fane 4.2. Gen. krav - anlæg'!G50</f>
        <v>-186615.11959789341</v>
      </c>
      <c r="D14" s="8" t="s">
        <v>3</v>
      </c>
      <c r="E14" s="1"/>
    </row>
    <row r="15" spans="1:5" x14ac:dyDescent="0.25">
      <c r="A15" s="1"/>
      <c r="B15" s="48" t="s">
        <v>20</v>
      </c>
      <c r="C15" s="10">
        <f>SUM(C8:C14)</f>
        <v>19100440.715687633</v>
      </c>
      <c r="D15" s="11" t="s">
        <v>3</v>
      </c>
      <c r="E15" s="1"/>
    </row>
    <row r="16" spans="1:5" x14ac:dyDescent="0.25">
      <c r="A16" s="1"/>
      <c r="B16" s="51" t="s">
        <v>12</v>
      </c>
      <c r="C16" s="52"/>
      <c r="D16" s="20"/>
      <c r="E16" s="1"/>
    </row>
    <row r="17" spans="1:5" ht="15" customHeight="1" x14ac:dyDescent="0.25">
      <c r="A17" s="1"/>
      <c r="B17" s="53" t="s">
        <v>12</v>
      </c>
      <c r="C17" s="10">
        <f>'Fane 6. Ikke-påvirkelige omk.'!C16*(1+'Fane 12. Nøgletal'!C14)^2</f>
        <v>12893302.708788047</v>
      </c>
      <c r="D17" s="11" t="s">
        <v>3</v>
      </c>
      <c r="E17" s="1"/>
    </row>
    <row r="18" spans="1:5" ht="15" customHeight="1" x14ac:dyDescent="0.25">
      <c r="A18" s="1"/>
      <c r="B18" s="51" t="s">
        <v>89</v>
      </c>
      <c r="C18" s="52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1" t="s">
        <v>161</v>
      </c>
      <c r="C22" s="52"/>
      <c r="D22" s="20"/>
      <c r="E22" s="1"/>
    </row>
    <row r="23" spans="1:5" x14ac:dyDescent="0.25">
      <c r="A23" s="1"/>
      <c r="B23" s="53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2"/>
      <c r="D24" s="20"/>
      <c r="E24" s="1"/>
    </row>
    <row r="25" spans="1:5" ht="15" customHeight="1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1" t="s">
        <v>186</v>
      </c>
      <c r="C26" s="12">
        <f>SUM(C15,C17,C21,C23,C25)</f>
        <v>31993743.424475677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YlQiJkEEkZO2U9NirIiCDTSCtl00zPpKbwsXSASRzu/BWsc5pQ457rMrfhOIICWUZB0g2Eq4RwVxPJJRusG5Mg==" saltValue="46tkNGDw6EGL65RwDMUQi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187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1" t="s">
        <v>13</v>
      </c>
      <c r="C7" s="52"/>
      <c r="D7" s="20"/>
      <c r="E7" s="1"/>
    </row>
    <row r="8" spans="1:5" ht="15" customHeight="1" x14ac:dyDescent="0.25">
      <c r="A8" s="1"/>
      <c r="B8" s="56" t="s">
        <v>188</v>
      </c>
      <c r="C8" s="7">
        <f>'Fane 2.3. Økonomisk ramme 2024'!C15</f>
        <v>19100440.715687633</v>
      </c>
      <c r="D8" s="8" t="s">
        <v>3</v>
      </c>
      <c r="E8" s="1"/>
    </row>
    <row r="9" spans="1:5" ht="15" customHeight="1" x14ac:dyDescent="0.25">
      <c r="A9" s="1"/>
      <c r="B9" s="56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6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63031.454361769189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-81719.370387626288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drift'!G56</f>
        <v>-146225.61833813012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anlæg'!G56</f>
        <v>-184459.9314400765</v>
      </c>
      <c r="D14" s="8" t="s">
        <v>3</v>
      </c>
      <c r="E14" s="1"/>
    </row>
    <row r="15" spans="1:5" x14ac:dyDescent="0.25">
      <c r="A15" s="1"/>
      <c r="B15" s="48" t="s">
        <v>20</v>
      </c>
      <c r="C15" s="10">
        <f>SUM(C8:C14)</f>
        <v>18751067.24988357</v>
      </c>
      <c r="D15" s="11" t="s">
        <v>3</v>
      </c>
      <c r="E15" s="1"/>
    </row>
    <row r="16" spans="1:5" x14ac:dyDescent="0.25">
      <c r="A16" s="1"/>
      <c r="B16" s="51" t="s">
        <v>12</v>
      </c>
      <c r="C16" s="52"/>
      <c r="D16" s="20"/>
      <c r="E16" s="1"/>
    </row>
    <row r="17" spans="1:5" ht="15" customHeight="1" x14ac:dyDescent="0.25">
      <c r="A17" s="1"/>
      <c r="B17" s="53" t="s">
        <v>12</v>
      </c>
      <c r="C17" s="10">
        <f>'Fane 6. Ikke-påvirkelige omk.'!C16*(1+'Fane 12. Nøgletal'!C14)^3</f>
        <v>12935850.607727049</v>
      </c>
      <c r="D17" s="11" t="s">
        <v>3</v>
      </c>
      <c r="E17" s="1"/>
    </row>
    <row r="18" spans="1:5" ht="15" customHeight="1" x14ac:dyDescent="0.25">
      <c r="A18" s="1"/>
      <c r="B18" s="51" t="s">
        <v>89</v>
      </c>
      <c r="C18" s="52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1" t="s">
        <v>161</v>
      </c>
      <c r="C22" s="52"/>
      <c r="D22" s="20"/>
      <c r="E22" s="1"/>
    </row>
    <row r="23" spans="1:5" x14ac:dyDescent="0.25">
      <c r="A23" s="1"/>
      <c r="B23" s="53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224</v>
      </c>
      <c r="C24" s="52"/>
      <c r="D24" s="20"/>
      <c r="E24" s="1"/>
    </row>
    <row r="25" spans="1:5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1" t="s">
        <v>189</v>
      </c>
      <c r="C26" s="12">
        <f>SUM(C15,C17,C21,C23,C25)</f>
        <v>31686917.857610621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yHSeKSvg6CO5Xpxb4vzYnsbHM8L75jtB6V6uWxCFxlewNnpPDBkpgc3fr9hbmJ+W0OuW36zBy+WC+TxRm/Vgg==" saltValue="DQaEDH19kAT+v2zlV2fC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190</v>
      </c>
      <c r="C3" s="97"/>
      <c r="D3" s="97"/>
      <c r="E3" s="97"/>
      <c r="F3" s="97"/>
      <c r="G3" s="1"/>
    </row>
    <row r="4" spans="1:7" ht="29.2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1" t="s">
        <v>223</v>
      </c>
      <c r="C8" s="52"/>
      <c r="D8" s="52"/>
      <c r="E8" s="52"/>
      <c r="F8" s="20"/>
      <c r="G8" s="1"/>
    </row>
    <row r="9" spans="1:7" x14ac:dyDescent="0.25">
      <c r="A9" s="1"/>
      <c r="B9" s="98" t="s">
        <v>23</v>
      </c>
      <c r="C9" s="99"/>
      <c r="D9" s="100"/>
      <c r="E9" s="7">
        <v>19217841.274343543</v>
      </c>
      <c r="F9" s="8" t="s">
        <v>3</v>
      </c>
      <c r="G9" s="1"/>
    </row>
    <row r="10" spans="1:7" ht="15" customHeight="1" x14ac:dyDescent="0.25">
      <c r="A10" s="1"/>
      <c r="B10" s="91" t="s">
        <v>40</v>
      </c>
      <c r="C10" s="92"/>
      <c r="D10" s="93"/>
      <c r="E10" s="9">
        <v>545640.5808</v>
      </c>
      <c r="F10" s="8" t="s">
        <v>3</v>
      </c>
      <c r="G10" s="1"/>
    </row>
    <row r="11" spans="1:7" ht="15" customHeight="1" x14ac:dyDescent="0.25">
      <c r="A11" s="1"/>
      <c r="B11" s="91" t="s">
        <v>41</v>
      </c>
      <c r="C11" s="92"/>
      <c r="D11" s="93"/>
      <c r="E11" s="9">
        <v>763632.02159999998</v>
      </c>
      <c r="F11" s="8" t="s">
        <v>3</v>
      </c>
      <c r="G11" s="1"/>
    </row>
    <row r="12" spans="1:7" x14ac:dyDescent="0.25">
      <c r="A12" s="1"/>
      <c r="B12" s="91" t="s">
        <v>28</v>
      </c>
      <c r="C12" s="92"/>
      <c r="D12" s="93"/>
      <c r="E12" s="9">
        <v>0</v>
      </c>
      <c r="F12" s="8" t="s">
        <v>3</v>
      </c>
      <c r="G12" s="1"/>
    </row>
    <row r="13" spans="1:7" x14ac:dyDescent="0.25">
      <c r="A13" s="1"/>
      <c r="B13" s="91" t="s">
        <v>27</v>
      </c>
      <c r="C13" s="92"/>
      <c r="D13" s="93"/>
      <c r="E13" s="9">
        <v>0</v>
      </c>
      <c r="F13" s="8" t="s">
        <v>3</v>
      </c>
      <c r="G13" s="1"/>
    </row>
    <row r="14" spans="1:7" x14ac:dyDescent="0.25">
      <c r="A14" s="1"/>
      <c r="B14" s="91" t="s">
        <v>132</v>
      </c>
      <c r="C14" s="92"/>
      <c r="D14" s="93"/>
      <c r="E14" s="9">
        <v>0</v>
      </c>
      <c r="F14" s="8" t="s">
        <v>3</v>
      </c>
      <c r="G14" s="1"/>
    </row>
    <row r="15" spans="1:7" x14ac:dyDescent="0.25">
      <c r="A15" s="1"/>
      <c r="B15" s="91" t="s">
        <v>133</v>
      </c>
      <c r="C15" s="92"/>
      <c r="D15" s="93"/>
      <c r="E15" s="9">
        <v>0</v>
      </c>
      <c r="F15" s="8" t="s">
        <v>3</v>
      </c>
      <c r="G15" s="1"/>
    </row>
    <row r="16" spans="1:7" x14ac:dyDescent="0.25">
      <c r="A16" s="1"/>
      <c r="B16" s="91" t="s">
        <v>18</v>
      </c>
      <c r="C16" s="92"/>
      <c r="D16" s="93"/>
      <c r="E16" s="9">
        <v>250430.78929627125</v>
      </c>
      <c r="F16" s="8" t="s">
        <v>3</v>
      </c>
      <c r="G16" s="1"/>
    </row>
    <row r="17" spans="1:7" x14ac:dyDescent="0.25">
      <c r="A17" s="1"/>
      <c r="B17" s="91" t="s">
        <v>9</v>
      </c>
      <c r="C17" s="92"/>
      <c r="D17" s="93"/>
      <c r="E17" s="9">
        <v>-88602.308247836656</v>
      </c>
      <c r="F17" s="8" t="s">
        <v>3</v>
      </c>
      <c r="G17" s="1"/>
    </row>
    <row r="18" spans="1:7" x14ac:dyDescent="0.25">
      <c r="A18" s="1"/>
      <c r="B18" s="91" t="s">
        <v>25</v>
      </c>
      <c r="C18" s="92"/>
      <c r="D18" s="93"/>
      <c r="E18" s="9">
        <v>-155081.64320804377</v>
      </c>
      <c r="F18" s="8" t="s">
        <v>3</v>
      </c>
      <c r="G18" s="1"/>
    </row>
    <row r="19" spans="1:7" x14ac:dyDescent="0.25">
      <c r="A19" s="1"/>
      <c r="B19" s="91" t="s">
        <v>26</v>
      </c>
      <c r="C19" s="92"/>
      <c r="D19" s="93"/>
      <c r="E19" s="9">
        <v>-365246.63650293706</v>
      </c>
      <c r="F19" s="8" t="s">
        <v>3</v>
      </c>
      <c r="G19" s="1"/>
    </row>
    <row r="20" spans="1:7" x14ac:dyDescent="0.25">
      <c r="A20" s="1"/>
      <c r="B20" s="104" t="s">
        <v>20</v>
      </c>
      <c r="C20" s="105"/>
      <c r="D20" s="106"/>
      <c r="E20" s="10">
        <f>SUM(E9:E19)</f>
        <v>20168614.078080993</v>
      </c>
      <c r="F20" s="11" t="s">
        <v>3</v>
      </c>
      <c r="G20" s="1"/>
    </row>
    <row r="21" spans="1:7" x14ac:dyDescent="0.25">
      <c r="A21" s="1"/>
      <c r="B21" s="51" t="s">
        <v>12</v>
      </c>
      <c r="C21" s="52"/>
      <c r="D21" s="52"/>
      <c r="E21" s="52"/>
      <c r="F21" s="20"/>
      <c r="G21" s="1"/>
    </row>
    <row r="22" spans="1:7" x14ac:dyDescent="0.25">
      <c r="A22" s="1"/>
      <c r="B22" s="94" t="s">
        <v>12</v>
      </c>
      <c r="C22" s="95"/>
      <c r="D22" s="96"/>
      <c r="E22" s="10">
        <v>14658474.34199232</v>
      </c>
      <c r="F22" s="11" t="s">
        <v>3</v>
      </c>
      <c r="G22" s="1"/>
    </row>
    <row r="23" spans="1:7" ht="15" customHeight="1" x14ac:dyDescent="0.25">
      <c r="A23" s="1"/>
      <c r="B23" s="110" t="s">
        <v>89</v>
      </c>
      <c r="C23" s="111"/>
      <c r="D23" s="111"/>
      <c r="E23" s="52"/>
      <c r="F23" s="52"/>
      <c r="G23" s="1"/>
    </row>
    <row r="24" spans="1:7" ht="14.25" customHeight="1" x14ac:dyDescent="0.25">
      <c r="A24" s="1"/>
      <c r="B24" s="101" t="s">
        <v>85</v>
      </c>
      <c r="C24" s="102"/>
      <c r="D24" s="103"/>
      <c r="E24" s="9">
        <v>0</v>
      </c>
      <c r="F24" s="8" t="s">
        <v>3</v>
      </c>
      <c r="G24" s="1"/>
    </row>
    <row r="25" spans="1:7" ht="14.25" customHeight="1" x14ac:dyDescent="0.25">
      <c r="A25" s="1"/>
      <c r="B25" s="101" t="s">
        <v>86</v>
      </c>
      <c r="C25" s="102"/>
      <c r="D25" s="103"/>
      <c r="E25" s="9">
        <v>0</v>
      </c>
      <c r="F25" s="8" t="s">
        <v>3</v>
      </c>
      <c r="G25" s="1"/>
    </row>
    <row r="26" spans="1:7" x14ac:dyDescent="0.25">
      <c r="A26" s="1"/>
      <c r="B26" s="107" t="s">
        <v>90</v>
      </c>
      <c r="C26" s="108"/>
      <c r="D26" s="108"/>
      <c r="E26" s="10">
        <v>0</v>
      </c>
      <c r="F26" s="11" t="s">
        <v>3</v>
      </c>
      <c r="G26" s="1"/>
    </row>
    <row r="27" spans="1:7" x14ac:dyDescent="0.25">
      <c r="A27" s="1"/>
      <c r="B27" s="51" t="s">
        <v>161</v>
      </c>
      <c r="C27" s="52"/>
      <c r="D27" s="52"/>
      <c r="E27" s="52"/>
      <c r="F27" s="20"/>
      <c r="G27" s="1"/>
    </row>
    <row r="28" spans="1:7" ht="15" customHeight="1" x14ac:dyDescent="0.25">
      <c r="A28" s="1"/>
      <c r="B28" s="107" t="s">
        <v>162</v>
      </c>
      <c r="C28" s="108"/>
      <c r="D28" s="109"/>
      <c r="E28" s="10">
        <v>0</v>
      </c>
      <c r="F28" s="11" t="s">
        <v>3</v>
      </c>
      <c r="G28" s="1"/>
    </row>
    <row r="29" spans="1:7" x14ac:dyDescent="0.25">
      <c r="A29" s="1"/>
      <c r="B29" s="51" t="s">
        <v>246</v>
      </c>
      <c r="C29" s="52"/>
      <c r="D29" s="52"/>
      <c r="E29" s="52"/>
      <c r="F29" s="20"/>
      <c r="G29" s="1"/>
    </row>
    <row r="30" spans="1:7" ht="15.6" customHeight="1" x14ac:dyDescent="0.25">
      <c r="A30" s="1"/>
      <c r="B30" s="94" t="s">
        <v>247</v>
      </c>
      <c r="C30" s="95"/>
      <c r="D30" s="96"/>
      <c r="E30" s="10">
        <v>0</v>
      </c>
      <c r="F30" s="11" t="s">
        <v>3</v>
      </c>
      <c r="G30" s="1"/>
    </row>
    <row r="31" spans="1:7" x14ac:dyDescent="0.25">
      <c r="A31" s="1"/>
      <c r="B31" s="51" t="s">
        <v>29</v>
      </c>
      <c r="C31" s="52"/>
      <c r="D31" s="52"/>
      <c r="E31" s="12">
        <f>E20+E22+E26+E28+E30</f>
        <v>34827088.420073316</v>
      </c>
      <c r="F31" s="13" t="s">
        <v>3</v>
      </c>
      <c r="G31" s="1"/>
    </row>
    <row r="32" spans="1:7" ht="27.75" customHeight="1" x14ac:dyDescent="0.25">
      <c r="A32" s="1"/>
      <c r="B32" s="101" t="s">
        <v>191</v>
      </c>
      <c r="C32" s="102"/>
      <c r="D32" s="102"/>
      <c r="E32" s="102"/>
      <c r="F32" s="10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AqcYFCUlBugK1mEbHcAS9/pIg0FgIO1HnKxok7rpARfGiPPa/BWTERcgP+M79WThPdEoGUG9GhNaAnuBGmNjuw==" saltValue="ny3i9NLJoGGFf8qeaEaIvQ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7" t="s">
        <v>115</v>
      </c>
      <c r="C1" s="97"/>
      <c r="D1" s="97"/>
      <c r="E1" s="97"/>
      <c r="F1" s="97"/>
      <c r="G1" s="97"/>
      <c r="H1" s="97"/>
      <c r="I1" s="1"/>
    </row>
    <row r="2" spans="1:9" ht="15" customHeight="1" x14ac:dyDescent="0.25">
      <c r="A2" s="1"/>
      <c r="B2" s="97"/>
      <c r="C2" s="97"/>
      <c r="D2" s="97"/>
      <c r="E2" s="97"/>
      <c r="F2" s="97"/>
      <c r="G2" s="97"/>
      <c r="H2" s="97"/>
      <c r="I2" s="1"/>
    </row>
    <row r="3" spans="1:9" ht="15" customHeight="1" x14ac:dyDescent="0.25">
      <c r="A3" s="1"/>
      <c r="B3" s="97"/>
      <c r="C3" s="97"/>
      <c r="D3" s="97"/>
      <c r="E3" s="97"/>
      <c r="F3" s="97"/>
      <c r="G3" s="97"/>
      <c r="H3" s="97"/>
      <c r="I3" s="1"/>
    </row>
    <row r="4" spans="1:9" x14ac:dyDescent="0.25">
      <c r="A4" s="1"/>
      <c r="B4" s="112" t="s">
        <v>54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43</v>
      </c>
      <c r="C5" s="116"/>
      <c r="D5" s="116"/>
      <c r="E5" s="116"/>
      <c r="F5" s="117"/>
      <c r="G5" s="24">
        <v>7366008.1889917059</v>
      </c>
      <c r="H5" s="14" t="s">
        <v>3</v>
      </c>
      <c r="I5" s="1"/>
    </row>
    <row r="6" spans="1:9" x14ac:dyDescent="0.25">
      <c r="A6" s="1"/>
      <c r="B6" s="115" t="s">
        <v>44</v>
      </c>
      <c r="C6" s="116"/>
      <c r="D6" s="116"/>
      <c r="E6" s="116"/>
      <c r="F6" s="117"/>
      <c r="G6" s="24">
        <f>G5*'Fane 12. Nøgletal'!C29</f>
        <v>147320.16377983411</v>
      </c>
      <c r="H6" s="14" t="s">
        <v>3</v>
      </c>
      <c r="I6" s="1"/>
    </row>
    <row r="7" spans="1:9" x14ac:dyDescent="0.25">
      <c r="A7" s="1"/>
      <c r="B7" s="51"/>
      <c r="C7" s="52"/>
      <c r="D7" s="52"/>
      <c r="E7" s="52"/>
      <c r="F7" s="52"/>
      <c r="G7" s="5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55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45</v>
      </c>
      <c r="C10" s="116"/>
      <c r="D10" s="116"/>
      <c r="E10" s="116"/>
      <c r="F10" s="117"/>
      <c r="G10" s="24">
        <f>(G5-G6)*(1+'Fane 12. Nøgletal'!C9)</f>
        <v>7310365.3631320614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42">
        <v>0</v>
      </c>
      <c r="H11" s="14" t="s">
        <v>3</v>
      </c>
      <c r="I11" s="1"/>
    </row>
    <row r="12" spans="1:9" x14ac:dyDescent="0.25">
      <c r="A12" s="1"/>
      <c r="B12" s="115" t="s">
        <v>47</v>
      </c>
      <c r="C12" s="116"/>
      <c r="D12" s="116"/>
      <c r="E12" s="116"/>
      <c r="F12" s="117"/>
      <c r="G12" s="24">
        <f>(G10+G11)*'Fane 12. Nøgletal'!C29</f>
        <v>146207.30726264123</v>
      </c>
      <c r="H12" s="14" t="s">
        <v>3</v>
      </c>
      <c r="I12" s="1"/>
    </row>
    <row r="13" spans="1:9" x14ac:dyDescent="0.25">
      <c r="A13" s="1"/>
      <c r="B13" s="51"/>
      <c r="C13" s="52"/>
      <c r="D13" s="52"/>
      <c r="E13" s="52"/>
      <c r="F13" s="52"/>
      <c r="G13" s="52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56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48</v>
      </c>
      <c r="C16" s="116"/>
      <c r="D16" s="116"/>
      <c r="E16" s="116"/>
      <c r="F16" s="117"/>
      <c r="G16" s="24">
        <f>(G10+G11-G12)*(1+'Fane 12. Nøgletal'!C11)</f>
        <v>7285232.3270136127</v>
      </c>
      <c r="H16" s="14" t="s">
        <v>3</v>
      </c>
      <c r="I16" s="1"/>
    </row>
    <row r="17" spans="1:9" x14ac:dyDescent="0.25">
      <c r="A17" s="1"/>
      <c r="B17" s="115" t="s">
        <v>125</v>
      </c>
      <c r="C17" s="116"/>
      <c r="D17" s="116"/>
      <c r="E17" s="116"/>
      <c r="F17" s="117"/>
      <c r="G17" s="42">
        <v>0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42">
        <v>0</v>
      </c>
      <c r="H18" s="14" t="s">
        <v>3</v>
      </c>
      <c r="I18" s="1"/>
    </row>
    <row r="19" spans="1:9" x14ac:dyDescent="0.25">
      <c r="A19" s="1"/>
      <c r="B19" s="115" t="s">
        <v>50</v>
      </c>
      <c r="C19" s="116"/>
      <c r="D19" s="116"/>
      <c r="E19" s="116"/>
      <c r="F19" s="117"/>
      <c r="G19" s="24">
        <f>SUM(G16:G18)*'Fane 12. Nøgletal'!C29</f>
        <v>145704.64654027225</v>
      </c>
      <c r="H19" s="14" t="s">
        <v>3</v>
      </c>
      <c r="I19" s="1"/>
    </row>
    <row r="20" spans="1:9" x14ac:dyDescent="0.25">
      <c r="A20" s="1"/>
      <c r="B20" s="51"/>
      <c r="C20" s="52"/>
      <c r="D20" s="52"/>
      <c r="E20" s="52"/>
      <c r="F20" s="52"/>
      <c r="G20" s="5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57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51</v>
      </c>
      <c r="C23" s="116"/>
      <c r="D23" s="116"/>
      <c r="E23" s="116"/>
      <c r="F23" s="117"/>
      <c r="G23" s="24">
        <f>(SUM(G16:G18)-G19)*(1+'Fane 12. Nøgletal'!C11)</f>
        <v>7260185.6982733393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42">
        <v>0</v>
      </c>
      <c r="H24" s="14" t="s">
        <v>3</v>
      </c>
      <c r="I24" s="1"/>
    </row>
    <row r="25" spans="1:9" x14ac:dyDescent="0.25">
      <c r="A25" s="1"/>
      <c r="B25" s="115" t="s">
        <v>53</v>
      </c>
      <c r="C25" s="116"/>
      <c r="D25" s="116"/>
      <c r="E25" s="116"/>
      <c r="F25" s="117"/>
      <c r="G25" s="24">
        <f>(G23+G24)*'Fane 12. Nøgletal'!C29</f>
        <v>145203.7139654668</v>
      </c>
      <c r="H25" s="14" t="s">
        <v>3</v>
      </c>
      <c r="I25" s="1"/>
    </row>
    <row r="26" spans="1:9" x14ac:dyDescent="0.25">
      <c r="A26" s="1"/>
      <c r="B26" s="51"/>
      <c r="C26" s="52"/>
      <c r="D26" s="52"/>
      <c r="E26" s="52"/>
      <c r="F26" s="52"/>
      <c r="G26" s="5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175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60</v>
      </c>
      <c r="C29" s="116"/>
      <c r="D29" s="116"/>
      <c r="E29" s="116"/>
      <c r="F29" s="117"/>
      <c r="G29" s="24">
        <f>(G23+G24-G25)*(1+'Fane 12. Nøgletal'!C13)</f>
        <v>7201784.7645164281</v>
      </c>
      <c r="H29" s="14" t="s">
        <v>3</v>
      </c>
      <c r="I29" s="1"/>
    </row>
    <row r="30" spans="1:9" x14ac:dyDescent="0.25">
      <c r="A30" s="1"/>
      <c r="B30" s="115" t="s">
        <v>147</v>
      </c>
      <c r="C30" s="116"/>
      <c r="D30" s="116"/>
      <c r="E30" s="116"/>
      <c r="F30" s="117"/>
      <c r="G30" s="24">
        <f>SUM('Fane 3. Omkostninger i ØR2021'!E10,'Fane 3. Omkostninger i ØR2021'!E12,'Fane 3. Omkostninger i ØR2021'!E14)*(1+'Fane 12. Nøgletal'!C13)</f>
        <v>552297.39588575996</v>
      </c>
      <c r="H30" s="14" t="s">
        <v>3</v>
      </c>
      <c r="I30" s="1"/>
    </row>
    <row r="31" spans="1:9" x14ac:dyDescent="0.25">
      <c r="A31" s="1"/>
      <c r="B31" s="115" t="s">
        <v>159</v>
      </c>
      <c r="C31" s="116"/>
      <c r="D31" s="116"/>
      <c r="E31" s="116"/>
      <c r="F31" s="117"/>
      <c r="G31" s="24">
        <f>(G29+G30)*'Fane 12. Nøgletal'!C29</f>
        <v>155081.64320804377</v>
      </c>
      <c r="H31" s="14" t="s">
        <v>3</v>
      </c>
      <c r="I31" s="1"/>
    </row>
    <row r="32" spans="1:9" x14ac:dyDescent="0.25">
      <c r="A32" s="1"/>
      <c r="B32" s="51"/>
      <c r="C32" s="52"/>
      <c r="D32" s="52"/>
      <c r="E32" s="52"/>
      <c r="F32" s="52"/>
      <c r="G32" s="5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176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80</v>
      </c>
      <c r="C35" s="116"/>
      <c r="D35" s="116"/>
      <c r="E35" s="116"/>
      <c r="F35" s="117"/>
      <c r="G35" s="24">
        <f>(G29+G30-G31)*(1+'Fane 12. Nøgletal'!C13)</f>
        <v>7691708.3235039134</v>
      </c>
      <c r="H35" s="14" t="s">
        <v>3</v>
      </c>
      <c r="I35" s="1"/>
    </row>
    <row r="36" spans="1:9" x14ac:dyDescent="0.25">
      <c r="A36" s="1"/>
      <c r="B36" s="37" t="s">
        <v>192</v>
      </c>
      <c r="C36" s="58"/>
      <c r="D36" s="58"/>
      <c r="E36" s="58"/>
      <c r="F36" s="59"/>
      <c r="G36" s="24">
        <f>SUM('Fane 2.1. Økonomisk ramme 2022'!C10)*(1+'Fane 12. Nøgletal'!C14)</f>
        <v>540674.62727151392</v>
      </c>
      <c r="H36" s="14" t="s">
        <v>3</v>
      </c>
      <c r="I36" s="1"/>
    </row>
    <row r="37" spans="1:9" x14ac:dyDescent="0.25">
      <c r="A37" s="1"/>
      <c r="B37" s="115" t="s">
        <v>221</v>
      </c>
      <c r="C37" s="116"/>
      <c r="D37" s="116"/>
      <c r="E37" s="116"/>
      <c r="F37" s="117"/>
      <c r="G37" s="42">
        <f>SUM('Fane 2.1. Økonomisk ramme 2022'!C12,'Fane 2.1. Økonomisk ramme 2022'!C14,'Fane 2.1. Økonomisk ramme 2022'!C16)*(1+'Fane 12. Nøgletal'!C14)</f>
        <v>0</v>
      </c>
      <c r="H37" s="14" t="s">
        <v>3</v>
      </c>
      <c r="I37" s="1"/>
    </row>
    <row r="38" spans="1:9" x14ac:dyDescent="0.25">
      <c r="A38" s="1"/>
      <c r="B38" s="115" t="s">
        <v>177</v>
      </c>
      <c r="C38" s="116"/>
      <c r="D38" s="116"/>
      <c r="E38" s="116"/>
      <c r="F38" s="117"/>
      <c r="G38" s="24">
        <f>(G35+G37)*'Fane 12. Nøgletal'!C29</f>
        <v>153834.16647007826</v>
      </c>
      <c r="H38" s="14" t="s">
        <v>3</v>
      </c>
      <c r="I38" s="1"/>
    </row>
    <row r="39" spans="1:9" x14ac:dyDescent="0.25">
      <c r="A39" s="1"/>
      <c r="B39" s="51"/>
      <c r="C39" s="52"/>
      <c r="D39" s="52"/>
      <c r="E39" s="52"/>
      <c r="F39" s="52"/>
      <c r="G39" s="5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81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79</v>
      </c>
      <c r="C42" s="116"/>
      <c r="D42" s="116"/>
      <c r="E42" s="116"/>
      <c r="F42" s="117"/>
      <c r="G42" s="24">
        <f>(G35+G37-G38)*(1+'Fane 12. Nøgletal'!C14)</f>
        <v>7562749.1417520475</v>
      </c>
      <c r="H42" s="14" t="s">
        <v>3</v>
      </c>
      <c r="I42" s="1"/>
    </row>
    <row r="43" spans="1:9" x14ac:dyDescent="0.25">
      <c r="A43" s="1"/>
      <c r="B43" s="115" t="s">
        <v>92</v>
      </c>
      <c r="C43" s="116"/>
      <c r="D43" s="116"/>
      <c r="E43" s="116"/>
      <c r="F43" s="117"/>
      <c r="G43" s="42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5" t="s">
        <v>61</v>
      </c>
      <c r="C44" s="116"/>
      <c r="D44" s="116"/>
      <c r="E44" s="116"/>
      <c r="F44" s="117"/>
      <c r="G44" s="24">
        <f>(G42+G43)*'Fane 12. Nøgletal'!C29</f>
        <v>151254.98283504095</v>
      </c>
      <c r="H44" s="14" t="s">
        <v>3</v>
      </c>
      <c r="I44" s="1"/>
    </row>
    <row r="45" spans="1:9" x14ac:dyDescent="0.25">
      <c r="A45" s="1"/>
      <c r="B45" s="51"/>
      <c r="C45" s="52"/>
      <c r="D45" s="52"/>
      <c r="E45" s="52"/>
      <c r="F45" s="52"/>
      <c r="G45" s="5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148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149</v>
      </c>
      <c r="C48" s="116"/>
      <c r="D48" s="116"/>
      <c r="E48" s="116"/>
      <c r="F48" s="117"/>
      <c r="G48" s="24">
        <f>(G42+G43-G44)*(1+'Fane 12. Nøgletal'!C14)</f>
        <v>7435952.0896414332</v>
      </c>
      <c r="H48" s="14" t="s">
        <v>3</v>
      </c>
      <c r="I48" s="1"/>
    </row>
    <row r="49" spans="1:9" x14ac:dyDescent="0.25">
      <c r="A49" s="1"/>
      <c r="B49" s="115" t="s">
        <v>150</v>
      </c>
      <c r="C49" s="116"/>
      <c r="D49" s="116"/>
      <c r="E49" s="116"/>
      <c r="F49" s="117"/>
      <c r="G49" s="42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5" t="s">
        <v>151</v>
      </c>
      <c r="C50" s="116"/>
      <c r="D50" s="116"/>
      <c r="E50" s="116"/>
      <c r="F50" s="117"/>
      <c r="G50" s="24">
        <f>(G48+G49)*'Fane 12. Nøgletal'!C29</f>
        <v>148719.04179282868</v>
      </c>
      <c r="H50" s="14" t="s">
        <v>3</v>
      </c>
      <c r="I50" s="1"/>
    </row>
    <row r="51" spans="1:9" x14ac:dyDescent="0.25">
      <c r="A51" s="1"/>
      <c r="B51" s="51"/>
      <c r="C51" s="52"/>
      <c r="D51" s="52"/>
      <c r="E51" s="52"/>
      <c r="F51" s="52"/>
      <c r="G51" s="52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198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199</v>
      </c>
      <c r="C54" s="116"/>
      <c r="D54" s="116"/>
      <c r="E54" s="116"/>
      <c r="F54" s="117"/>
      <c r="G54" s="24">
        <f>(G48+G49-G50)*(1+'Fane 12. Nøgletal'!C14)</f>
        <v>7311280.9169065058</v>
      </c>
      <c r="H54" s="14" t="s">
        <v>3</v>
      </c>
      <c r="I54" s="1"/>
    </row>
    <row r="55" spans="1:9" x14ac:dyDescent="0.25">
      <c r="A55" s="1"/>
      <c r="B55" s="115" t="s">
        <v>200</v>
      </c>
      <c r="C55" s="116"/>
      <c r="D55" s="116"/>
      <c r="E55" s="116"/>
      <c r="F55" s="117"/>
      <c r="G55" s="42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5" t="s">
        <v>201</v>
      </c>
      <c r="C56" s="116"/>
      <c r="D56" s="116"/>
      <c r="E56" s="116"/>
      <c r="F56" s="117"/>
      <c r="G56" s="24">
        <f>(G54+G55)*'Fane 12. Nøgletal'!C29</f>
        <v>146225.61833813012</v>
      </c>
      <c r="H56" s="14" t="s">
        <v>3</v>
      </c>
      <c r="I56" s="1"/>
    </row>
    <row r="57" spans="1:9" x14ac:dyDescent="0.25">
      <c r="A57" s="1"/>
      <c r="B57" s="51"/>
      <c r="C57" s="52"/>
      <c r="D57" s="52"/>
      <c r="E57" s="52"/>
      <c r="F57" s="52"/>
      <c r="G57" s="52"/>
      <c r="H57" s="20"/>
      <c r="I57" s="1"/>
    </row>
  </sheetData>
  <sheetProtection algorithmName="SHA-512" hashValue="lB3cqakq7bKvESguudwwroB/KYUIT/vP4zmh0QeKcfUobxtgq5Z4Qi9Jm0E9G9ODTomdwT24aDRH3c+3y5Jl9w==" saltValue="K9RkVxlZG7ob8dWISL9vzQ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2" t="s">
        <v>58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62</v>
      </c>
      <c r="C5" s="116"/>
      <c r="D5" s="116"/>
      <c r="E5" s="116"/>
      <c r="F5" s="117"/>
      <c r="G5" s="24">
        <v>11988291.767596437</v>
      </c>
      <c r="H5" s="14" t="s">
        <v>3</v>
      </c>
      <c r="I5" s="1"/>
    </row>
    <row r="6" spans="1:9" x14ac:dyDescent="0.25">
      <c r="A6" s="1"/>
      <c r="B6" s="115" t="s">
        <v>59</v>
      </c>
      <c r="C6" s="116"/>
      <c r="D6" s="116"/>
      <c r="E6" s="116"/>
      <c r="F6" s="117"/>
      <c r="G6" s="24">
        <f>G5*'Fane 12. Nøgletal'!C19</f>
        <v>109093.45508512759</v>
      </c>
      <c r="H6" s="14" t="s">
        <v>3</v>
      </c>
      <c r="I6" s="1"/>
    </row>
    <row r="7" spans="1:9" x14ac:dyDescent="0.25">
      <c r="A7" s="1"/>
      <c r="B7" s="51"/>
      <c r="C7" s="52"/>
      <c r="D7" s="52"/>
      <c r="E7" s="52"/>
      <c r="F7" s="52"/>
      <c r="G7" s="5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63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64</v>
      </c>
      <c r="C10" s="116"/>
      <c r="D10" s="116"/>
      <c r="E10" s="116"/>
      <c r="F10" s="117"/>
      <c r="G10" s="24">
        <f>(G5-G6)*(1+'Fane 12. Nøgletal'!C9)</f>
        <v>12030064.131080203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42">
        <v>0</v>
      </c>
      <c r="H11" s="14" t="s">
        <v>3</v>
      </c>
      <c r="I11" s="1"/>
    </row>
    <row r="12" spans="1:9" x14ac:dyDescent="0.25">
      <c r="A12" s="1"/>
      <c r="B12" s="115" t="s">
        <v>66</v>
      </c>
      <c r="C12" s="116"/>
      <c r="D12" s="116"/>
      <c r="E12" s="116"/>
      <c r="F12" s="117"/>
      <c r="G12" s="24">
        <f>G10*'Fane 12. Nøgletal'!C19+G11*'Fane 12. Nøgletal'!C20</f>
        <v>109473.58359282985</v>
      </c>
      <c r="H12" s="14" t="s">
        <v>3</v>
      </c>
      <c r="I12" s="1"/>
    </row>
    <row r="13" spans="1:9" x14ac:dyDescent="0.25">
      <c r="A13" s="1"/>
      <c r="B13" s="51"/>
      <c r="C13" s="52"/>
      <c r="D13" s="52"/>
      <c r="E13" s="52"/>
      <c r="F13" s="52"/>
      <c r="G13" s="52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67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68</v>
      </c>
      <c r="C16" s="116"/>
      <c r="D16" s="116"/>
      <c r="E16" s="116"/>
      <c r="F16" s="117"/>
      <c r="G16" s="24">
        <f>(G10+G11-G12)*(1+'Fane 12. Nøgletal'!C11)</f>
        <v>12122048.527739909</v>
      </c>
      <c r="H16" s="14" t="s">
        <v>3</v>
      </c>
      <c r="I16" s="1"/>
    </row>
    <row r="17" spans="1:9" x14ac:dyDescent="0.25">
      <c r="A17" s="1"/>
      <c r="B17" s="115" t="s">
        <v>126</v>
      </c>
      <c r="C17" s="116"/>
      <c r="D17" s="116"/>
      <c r="E17" s="116"/>
      <c r="F17" s="117"/>
      <c r="G17" s="24">
        <v>86414.416099202193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42">
        <v>0</v>
      </c>
      <c r="H18" s="14" t="s">
        <v>3</v>
      </c>
      <c r="I18" s="1"/>
    </row>
    <row r="19" spans="1:9" x14ac:dyDescent="0.25">
      <c r="A19" s="1"/>
      <c r="B19" s="115" t="s">
        <v>70</v>
      </c>
      <c r="C19" s="116"/>
      <c r="D19" s="116"/>
      <c r="E19" s="116"/>
      <c r="F19" s="117"/>
      <c r="G19" s="24">
        <f>(G16+G17+G18)*'Fane 12. Nøgletal'!C21</f>
        <v>106213.62761140025</v>
      </c>
      <c r="H19" s="14" t="s">
        <v>3</v>
      </c>
      <c r="I19" s="1"/>
    </row>
    <row r="20" spans="1:9" x14ac:dyDescent="0.25">
      <c r="A20" s="1"/>
      <c r="B20" s="51"/>
      <c r="C20" s="52"/>
      <c r="D20" s="52"/>
      <c r="E20" s="52"/>
      <c r="F20" s="52"/>
      <c r="G20" s="5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71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72</v>
      </c>
      <c r="C23" s="116"/>
      <c r="D23" s="116"/>
      <c r="E23" s="116"/>
      <c r="F23" s="117"/>
      <c r="G23" s="24">
        <f>(SUM(G16:G18)-G19)*(1+'Fane 12. Nøgletal'!C11)</f>
        <v>12306777.329671957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162898.12211004586</v>
      </c>
      <c r="H24" s="14" t="s">
        <v>3</v>
      </c>
      <c r="I24" s="1"/>
    </row>
    <row r="25" spans="1:9" x14ac:dyDescent="0.25">
      <c r="A25" s="1"/>
      <c r="B25" s="115" t="s">
        <v>74</v>
      </c>
      <c r="C25" s="116"/>
      <c r="D25" s="116"/>
      <c r="E25" s="116"/>
      <c r="F25" s="117"/>
      <c r="G25" s="24">
        <f>G23*'Fane 12. Nøgletal'!C21+G24*'Fane 12. Nøgletal'!C22</f>
        <v>111695.26943607131</v>
      </c>
      <c r="H25" s="14" t="s">
        <v>3</v>
      </c>
      <c r="I25" s="1"/>
    </row>
    <row r="26" spans="1:9" x14ac:dyDescent="0.25">
      <c r="A26" s="1"/>
      <c r="B26" s="51"/>
      <c r="C26" s="52"/>
      <c r="D26" s="52"/>
      <c r="E26" s="52"/>
      <c r="F26" s="52"/>
      <c r="G26" s="5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173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75</v>
      </c>
      <c r="C29" s="116"/>
      <c r="D29" s="116"/>
      <c r="E29" s="116"/>
      <c r="F29" s="117"/>
      <c r="G29" s="24">
        <f>(G23+G24-G25)*(1+'Fane 12. Nøgletal'!C13)</f>
        <v>12508747.540570553</v>
      </c>
      <c r="H29" s="14" t="s">
        <v>3</v>
      </c>
      <c r="I29" s="1"/>
    </row>
    <row r="30" spans="1:9" x14ac:dyDescent="0.25">
      <c r="A30" s="1"/>
      <c r="B30" s="115" t="s">
        <v>152</v>
      </c>
      <c r="C30" s="116"/>
      <c r="D30" s="116"/>
      <c r="E30" s="116"/>
      <c r="F30" s="117"/>
      <c r="G30" s="24">
        <v>772948.33226351999</v>
      </c>
      <c r="H30" s="14" t="s">
        <v>3</v>
      </c>
      <c r="I30" s="1"/>
    </row>
    <row r="31" spans="1:9" x14ac:dyDescent="0.25">
      <c r="A31" s="1"/>
      <c r="B31" s="115" t="s">
        <v>174</v>
      </c>
      <c r="C31" s="116"/>
      <c r="D31" s="116"/>
      <c r="E31" s="116"/>
      <c r="F31" s="117"/>
      <c r="G31" s="24">
        <f>(G29+G30)*'Fane 12. Nøgletal'!C23</f>
        <v>365246.63650293701</v>
      </c>
      <c r="H31" s="14" t="s">
        <v>3</v>
      </c>
      <c r="I31" s="1"/>
    </row>
    <row r="32" spans="1:9" x14ac:dyDescent="0.25">
      <c r="A32" s="1"/>
      <c r="B32" s="51"/>
      <c r="C32" s="52"/>
      <c r="D32" s="52"/>
      <c r="E32" s="52"/>
      <c r="F32" s="52"/>
      <c r="G32" s="5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178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78</v>
      </c>
      <c r="C35" s="116"/>
      <c r="D35" s="116"/>
      <c r="E35" s="116"/>
      <c r="F35" s="117"/>
      <c r="G35" s="24">
        <f>(G29+G30-G31)*(1+'Fane 12. Nøgletal'!C13)</f>
        <v>13074029.917014377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750865.85360268783</v>
      </c>
      <c r="H36" s="14" t="s">
        <v>3</v>
      </c>
      <c r="I36" s="38"/>
    </row>
    <row r="37" spans="1:9" x14ac:dyDescent="0.25">
      <c r="A37" s="1"/>
      <c r="B37" s="115" t="s">
        <v>193</v>
      </c>
      <c r="C37" s="116"/>
      <c r="D37" s="116"/>
      <c r="E37" s="116"/>
      <c r="F37" s="117"/>
      <c r="G37" s="42">
        <f>SUM('Fane 2.1. Økonomisk ramme 2022'!C13,'Fane 2.1. Økonomisk ramme 2022'!C15,'Fane 2.1. Økonomisk ramme 2022'!C17)*(1+'Fane 12. Nøgletal'!C14)</f>
        <v>0</v>
      </c>
      <c r="H37" s="14" t="s">
        <v>3</v>
      </c>
      <c r="I37" s="1"/>
    </row>
    <row r="38" spans="1:9" x14ac:dyDescent="0.25">
      <c r="A38" s="1"/>
      <c r="B38" s="115" t="s">
        <v>179</v>
      </c>
      <c r="C38" s="116"/>
      <c r="D38" s="116"/>
      <c r="E38" s="116"/>
      <c r="F38" s="117"/>
      <c r="G38" s="24">
        <f>G35*'Fane 12. Nøgletal'!C23+G37*'Fane 12. Nøgletal'!C24</f>
        <v>359535.82271789538</v>
      </c>
      <c r="H38" s="14" t="s">
        <v>3</v>
      </c>
      <c r="I38" s="1"/>
    </row>
    <row r="39" spans="1:9" x14ac:dyDescent="0.25">
      <c r="A39" s="1"/>
      <c r="B39" s="51"/>
      <c r="C39" s="52"/>
      <c r="D39" s="52"/>
      <c r="E39" s="52"/>
      <c r="F39" s="52"/>
      <c r="G39" s="5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82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77</v>
      </c>
      <c r="C42" s="116"/>
      <c r="D42" s="116"/>
      <c r="E42" s="116"/>
      <c r="F42" s="117"/>
      <c r="G42" s="24">
        <f>(G35+G37-G38)*(1+'Fane 12. Nøgletal'!C14)</f>
        <v>12756451.92480766</v>
      </c>
      <c r="H42" s="14" t="s">
        <v>3</v>
      </c>
      <c r="I42" s="1"/>
    </row>
    <row r="43" spans="1:9" x14ac:dyDescent="0.25">
      <c r="A43" s="1"/>
      <c r="B43" s="115" t="s">
        <v>96</v>
      </c>
      <c r="C43" s="116"/>
      <c r="D43" s="116"/>
      <c r="E43" s="116"/>
      <c r="F43" s="117"/>
      <c r="G43" s="42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5" t="s">
        <v>76</v>
      </c>
      <c r="C44" s="116"/>
      <c r="D44" s="116"/>
      <c r="E44" s="116"/>
      <c r="F44" s="117"/>
      <c r="G44" s="24">
        <f>(G42+G43)*'Fane 12. Nøgletal'!C24</f>
        <v>188795.48848715337</v>
      </c>
      <c r="H44" s="14" t="s">
        <v>3</v>
      </c>
      <c r="I44" s="1"/>
    </row>
    <row r="45" spans="1:9" x14ac:dyDescent="0.25">
      <c r="A45" s="1"/>
      <c r="B45" s="51"/>
      <c r="C45" s="52"/>
      <c r="D45" s="52"/>
      <c r="E45" s="52"/>
      <c r="F45" s="52"/>
      <c r="G45" s="5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153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154</v>
      </c>
      <c r="C48" s="116"/>
      <c r="D48" s="116"/>
      <c r="E48" s="116"/>
      <c r="F48" s="117"/>
      <c r="G48" s="24">
        <f>(G42+G43-G44)*(1+'Fane 12. Nøgletal'!C14)</f>
        <v>12609129.702560365</v>
      </c>
      <c r="H48" s="14" t="s">
        <v>3</v>
      </c>
      <c r="I48" s="1"/>
    </row>
    <row r="49" spans="1:9" x14ac:dyDescent="0.25">
      <c r="A49" s="1"/>
      <c r="B49" s="115" t="s">
        <v>155</v>
      </c>
      <c r="C49" s="116"/>
      <c r="D49" s="116"/>
      <c r="E49" s="116"/>
      <c r="F49" s="117"/>
      <c r="G49" s="42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5" t="s">
        <v>156</v>
      </c>
      <c r="C50" s="116"/>
      <c r="D50" s="116"/>
      <c r="E50" s="116"/>
      <c r="F50" s="117"/>
      <c r="G50" s="24">
        <f>(G48+G49)*'Fane 12. Nøgletal'!C24</f>
        <v>186615.11959789341</v>
      </c>
      <c r="H50" s="14" t="s">
        <v>3</v>
      </c>
      <c r="I50" s="1"/>
    </row>
    <row r="51" spans="1:9" x14ac:dyDescent="0.25">
      <c r="A51" s="1"/>
      <c r="B51" s="51"/>
      <c r="C51" s="52"/>
      <c r="D51" s="52"/>
      <c r="E51" s="52"/>
      <c r="F51" s="52"/>
      <c r="G51" s="52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194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195</v>
      </c>
      <c r="C54" s="116"/>
      <c r="D54" s="116"/>
      <c r="E54" s="116"/>
      <c r="F54" s="117"/>
      <c r="G54" s="24">
        <f>(G48+G49-G50)*(1+'Fane 12. Nøgletal'!C14)</f>
        <v>12463508.881086249</v>
      </c>
      <c r="H54" s="14" t="s">
        <v>3</v>
      </c>
      <c r="I54" s="1"/>
    </row>
    <row r="55" spans="1:9" x14ac:dyDescent="0.25">
      <c r="A55" s="1"/>
      <c r="B55" s="115" t="s">
        <v>196</v>
      </c>
      <c r="C55" s="116"/>
      <c r="D55" s="116"/>
      <c r="E55" s="116"/>
      <c r="F55" s="117"/>
      <c r="G55" s="42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5" t="s">
        <v>197</v>
      </c>
      <c r="C56" s="116"/>
      <c r="D56" s="116"/>
      <c r="E56" s="116"/>
      <c r="F56" s="117"/>
      <c r="G56" s="24">
        <f>(G54+G55)*'Fane 12. Nøgletal'!C24</f>
        <v>184459.9314400765</v>
      </c>
      <c r="H56" s="14" t="s">
        <v>3</v>
      </c>
      <c r="I56" s="1"/>
    </row>
    <row r="57" spans="1:9" x14ac:dyDescent="0.25">
      <c r="A57" s="1"/>
      <c r="B57" s="51"/>
      <c r="C57" s="52"/>
      <c r="D57" s="52"/>
      <c r="E57" s="52"/>
      <c r="F57" s="52"/>
      <c r="G57" s="52"/>
      <c r="H57" s="20"/>
      <c r="I57" s="1"/>
    </row>
  </sheetData>
  <sheetProtection algorithmName="SHA-512" hashValue="3UxQB1dxHQCTpkpLUNw0ATg5ph4gvgVzN9ximO/qI7gbE8XMIcWe/I+/GEY8k1aIUOnntIqWfpEkjFg8uwNa6Q==" saltValue="ODbvbxo9kRZEZxwGHYdU8g==" spinCount="100000" sheet="1" objects="1" scenarios="1"/>
  <mergeCells count="37"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9</v>
      </c>
      <c r="C8" s="113"/>
      <c r="D8" s="113"/>
      <c r="E8" s="113"/>
      <c r="F8" s="113"/>
      <c r="G8" s="113"/>
      <c r="H8" s="114"/>
      <c r="I8" s="1"/>
    </row>
    <row r="9" spans="1:9" x14ac:dyDescent="0.25">
      <c r="A9" s="1"/>
      <c r="B9" s="115" t="s">
        <v>105</v>
      </c>
      <c r="C9" s="116"/>
      <c r="D9" s="116"/>
      <c r="E9" s="116"/>
      <c r="F9" s="117"/>
      <c r="G9" s="44">
        <v>3.296676212785813E-3</v>
      </c>
      <c r="H9" s="14"/>
      <c r="I9" s="1"/>
    </row>
    <row r="10" spans="1:9" x14ac:dyDescent="0.25">
      <c r="A10" s="1"/>
      <c r="B10" s="115" t="s">
        <v>141</v>
      </c>
      <c r="C10" s="116"/>
      <c r="D10" s="116"/>
      <c r="E10" s="116"/>
      <c r="F10" s="117"/>
      <c r="G10" s="44">
        <v>4.2643300578558783E-3</v>
      </c>
      <c r="H10" s="14"/>
      <c r="I10" s="1"/>
    </row>
    <row r="11" spans="1:9" x14ac:dyDescent="0.25">
      <c r="A11" s="1"/>
      <c r="B11" s="51"/>
      <c r="C11" s="52"/>
      <c r="D11" s="52"/>
      <c r="E11" s="52"/>
      <c r="F11" s="52"/>
      <c r="G11" s="52"/>
      <c r="H11" s="20"/>
      <c r="I11" s="1"/>
    </row>
    <row r="12" spans="1:9" ht="14.25" customHeight="1" x14ac:dyDescent="0.25">
      <c r="A12" s="1"/>
      <c r="B12" s="124" t="s">
        <v>191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+0XBvbZgZST2OqGtw+LJf8tJizOgnGtPe1oFHxDy0oTMXnwJZD8IMCcPkgmtS0SA4chmBCroOOzwZ+0T8XHU6A==" saltValue="9uoSLhK14smnZWIXT75vSw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2021-09-06T09:57:02Z</dcterms:modified>
</cp:coreProperties>
</file>