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Sjælsø AS (V164)\ØR2024\"/>
    </mc:Choice>
  </mc:AlternateContent>
  <xr:revisionPtr revIDLastSave="0" documentId="13_ncr:1_{17550FCE-3574-4DDA-8FA6-1ED317D9B5A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iterate="1" iterateCount="1"/>
</workbook>
</file>

<file path=xl/calcChain.xml><?xml version="1.0" encoding="utf-8"?>
<calcChain xmlns="http://schemas.openxmlformats.org/spreadsheetml/2006/main">
  <c r="C29" i="2" l="1"/>
  <c r="E23" i="42" l="1"/>
  <c r="E31" i="42" s="1"/>
  <c r="E33" i="42" s="1"/>
  <c r="C8" i="2"/>
  <c r="C17" i="22" l="1"/>
  <c r="C17" i="15"/>
  <c r="E27" i="42"/>
  <c r="C13" i="29"/>
  <c r="C14" i="29" s="1"/>
  <c r="E14" i="39" l="1"/>
  <c r="C14" i="39"/>
  <c r="C31" i="2" l="1"/>
  <c r="E15" i="39" l="1"/>
  <c r="C15" i="39"/>
  <c r="J13" i="11"/>
  <c r="H13" i="11"/>
  <c r="F11" i="11" l="1"/>
  <c r="F12" i="11"/>
  <c r="F10" i="11"/>
  <c r="F13" i="11" l="1"/>
  <c r="C19" i="23"/>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<sst xmlns="http://schemas.openxmlformats.org/spreadsheetml/2006/main" count="561" uniqueCount="265">
  <si>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</si>
  <si>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</si>
  <si>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</si>
  <si>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</si>
  <si>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</si>
  <si>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</si>
  <si>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</si>
  <si>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</si>
  <si>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</si>
  <si>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</si>
  <si>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</si>
  <si>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</si>
  <si>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</si>
  <si>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</si>
  <si>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</si>
  <si>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</si>
  <si>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</si>
  <si>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</si>
  <si>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</si>
  <si>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</si>
  <si>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</si>
  <si>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</si>
  <si>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</si>
  <si>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</si>
  <si>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</si>
  <si>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</si>
  <si>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</si>
  <si>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</si>
  <si>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</si>
  <si>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</si>
  <si>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</si>
  <si>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</si>
  <si>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</si>
  <si>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</si>
  <si>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</si>
  <si>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</si>
  <si>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</si>
  <si>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</si>
  <si>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</si>
  <si>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</si>
  <si>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</si>
  <si>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</si>
  <si>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</si>
  <si>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</si>
  <si>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</si>
  <si>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</si>
  <si>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</si>
  <si>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</si>
  <si>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</si>
  <si>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</si>
  <si>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</si>
  <si>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</si>
  <si>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</si>
  <si>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</si>
  <si>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</si>
  <si>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</si>
  <si>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</si>
  <si>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</si>
  <si>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</si>
  <si>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</si>
  <si>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</si>
  <si>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</si>
  <si>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</si>
  <si>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</si>
  <si>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</si>
  <si>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</si>
  <si>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</si>
  <si>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</si>
  <si>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</si>
  <si>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</si>
  <si>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</si>
  <si>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</si>
  <si>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</si>
  <si>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</si>
  <si>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</si>
  <si>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</si>
  <si>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</si>
  <si>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</si>
  <si>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</si>
  <si>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</si>
  <si>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</si>
  <si>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</si>
  <si>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</si>
  <si>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</si>
  <si>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</si>
  <si>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</si>
  <si>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</si>
  <si>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</si>
  <si>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</si>
  <si>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</si>
  <si>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</si>
  <si>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</si>
  <si>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</si>
  <si>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</si>
  <si>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</si>
  <si>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</si>
  <si>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</si>
  <si>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</si>
  <si>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</si>
  <si>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</si>
  <si>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</si>
  <si>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</si>
  <si>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</si>
  <si>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</si>
  <si>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</si>
  <si>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</si>
  <si>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</si>
  <si>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</si>
  <si>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</si>
  <si>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</si>
  <si>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</si>
  <si>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</si>
  <si>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</si>
  <si>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</si>
  <si>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</si>
  <si>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</si>
  <si>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</si>
  <si>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</si>
  <si>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</si>
  <si>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</si>
  <si>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</si>
  <si>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</si>
  <si>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</si>
  <si>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</si>
  <si>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</si>
  <si>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</si>
  <si>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</si>
  <si>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</si>
  <si>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</si>
  <si>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</si>
  <si>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</si>
  <si>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</si>
  <si>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</si>
  <si>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</si>
  <si>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</si>
  <si>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</si>
  <si>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</si>
  <si>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</si>
  <si>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</si>
  <si>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</si>
  <si>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</si>
  <si>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</si>
  <si>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</si>
  <si>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</si>
  <si>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</si>
  <si>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</si>
  <si>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</si>
  <si>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</si>
  <si>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</si>
  <si>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</si>
  <si>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</si>
  <si>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</si>
  <si>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</si>
  <si>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</si>
  <si>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</si>
  <si>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</si>
  <si>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</si>
  <si>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</si>
  <si>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</si>
  <si>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</si>
  <si>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</si>
  <si>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</si>
  <si>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</si>
  <si>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</si>
  <si>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</si>
  <si>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</si>
  <si>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</si>
  <si>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</si>
  <si>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</si>
  <si>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</si>
  <si>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</si>
  <si>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</si>
  <si>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</si>
  <si>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</si>
  <si>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</si>
  <si>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</si>
  <si>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</si>
  <si>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</si>
  <si>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</si>
  <si>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</si>
  <si>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</si>
  <si>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</si>
  <si>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</si>
  <si>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</si>
  <si>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</si>
  <si>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</si>
  <si>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</si>
  <si>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</si>
  <si>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</si>
  <si>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</si>
  <si>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</si>
  <si>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</si>
  <si>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</si>
  <si>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</si>
  <si>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</si>
  <si>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</si>
  <si>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</si>
  <si>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</si>
  <si>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</si>
  <si>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</si>
  <si>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</si>
  <si>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</si>
  <si>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</si>
  <si>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</si>
  <si>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</si>
  <si>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</si>
  <si>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</si>
  <si>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</si>
  <si>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</si>
  <si>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</si>
  <si>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</si>
  <si>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</si>
  <si>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</si>
  <si>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</si>
  <si>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</si>
  <si>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</si>
  <si>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</si>
  <si>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</si>
  <si>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</si>
  <si>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</si>
  <si>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</si>
  <si>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</si>
  <si>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</si>
  <si>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</si>
  <si>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</si>
  <si>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</si>
  <si>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</si>
  <si>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</si>
  <si>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</si>
  <si>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</si>
  <si>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</si>
  <si>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</si>
  <si>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</si>
  <si>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</si>
  <si>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</si>
  <si>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</si>
  <si>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</si>
  <si>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</si>
  <si>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</si>
  <si>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</si>
  <si>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</si>
  <si>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</si>
  <si>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Ingen engangstillæg</t>
  </si>
  <si>
    <t>Afgift til Forsyningssekretariatet</t>
  </si>
  <si>
    <t>Køb af ydelser og produkter fra andre vandselskaber reguleret af vandsektorloven</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</si>
  <si>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</si>
  <si>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</si>
  <si>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</si>
  <si>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</si>
  <si>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</si>
  <si>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</si>
  <si>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</si>
  <si>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</si>
  <si>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</si>
  <si>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</si>
  <si>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</si>
  <si>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</si>
  <si>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</si>
  <si>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</si>
  <si>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</si>
  <si>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Skyllevand-/slamhåndteringsanl. - åbne med faste sider/bund</t>
  </si>
  <si>
    <t>Skyllevand-/slamhåndteringsanlæg - lukkede betonbeholdere</t>
  </si>
  <si>
    <t>Skyllevandsbehandling, inkl. UV-filter mv., Mek./EL</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</si>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</sst>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 fontId="8" fillId="8" borderId="1" xfId="1" applyNumberFormat="1" applyFont="1" applyFill="1" applyBorder="1" applyProtection="1"/>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FpLXXFd8D8JAlFrhDSZJuV5s8m3uzEZ3F4zbc+lw0+uCoT3mBmuyNMS5GB2GcH1xWlS6dMCgzwu+VeQyiCP+6w==" saltValue="9sq7x5sAaFcG/n45V6NKT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289160</v>
      </c>
      <c r="D10" s="14" t="s">
        <v>3</v>
      </c>
      <c r="E10" s="1"/>
      <c r="F10" s="1"/>
    </row>
    <row r="11" spans="1:6" ht="26.25" x14ac:dyDescent="0.25">
      <c r="A11" s="1"/>
      <c r="B11" s="54" t="s">
        <v>244</v>
      </c>
      <c r="C11" s="9">
        <v>9688</v>
      </c>
      <c r="D11" s="14" t="s">
        <v>3</v>
      </c>
      <c r="E11" s="1"/>
      <c r="F11" s="1"/>
    </row>
    <row r="12" spans="1:6" x14ac:dyDescent="0.25">
      <c r="A12" s="1"/>
      <c r="B12" s="71" t="s">
        <v>245</v>
      </c>
      <c r="C12" s="9">
        <v>390757</v>
      </c>
      <c r="D12" s="14" t="s">
        <v>3</v>
      </c>
      <c r="E12" s="1"/>
      <c r="F12" s="1"/>
    </row>
    <row r="13" spans="1:6" x14ac:dyDescent="0.25">
      <c r="A13" s="1"/>
      <c r="B13" s="71" t="s">
        <v>246</v>
      </c>
      <c r="C13" s="9">
        <v>946155</v>
      </c>
      <c r="D13" s="14" t="s">
        <v>3</v>
      </c>
      <c r="E13" s="1"/>
      <c r="F13" s="1"/>
    </row>
    <row r="14" spans="1:6" x14ac:dyDescent="0.25">
      <c r="A14" s="1"/>
      <c r="B14" s="71"/>
      <c r="C14" s="9"/>
      <c r="D14" s="14" t="s">
        <v>3</v>
      </c>
      <c r="E14" s="1"/>
      <c r="F14" s="1"/>
    </row>
    <row r="15" spans="1:6" x14ac:dyDescent="0.25">
      <c r="A15" s="1"/>
      <c r="B15" s="71"/>
      <c r="C15" s="9"/>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1" t="s">
        <v>213</v>
      </c>
      <c r="C19" s="12">
        <f>SUM(C10:C18)</f>
        <v>1635760</v>
      </c>
      <c r="D19" s="13" t="s">
        <v>3</v>
      </c>
      <c r="E19" s="1"/>
      <c r="F19" s="1"/>
    </row>
    <row r="20" spans="1:6" x14ac:dyDescent="0.25">
      <c r="A20" s="1"/>
      <c r="B20" s="51" t="s">
        <v>214</v>
      </c>
      <c r="C20" s="12">
        <f>C19*(1+'Fane 13. Nøgletal'!C16)^2</f>
        <v>1910778.1041663999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V425szg0t4+48CzobOnBfkBIXQA1oJJwEkV/WBKqGauqASPwrzZltrM+2oSyVAzc1Fm2onsZlOgq4//dag9ibA==" saltValue="JakG5uzh8zYIZFOkN+QOa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1A7C-1130-413E-A856-257003C1174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7"/>
      <c r="D6" s="58"/>
      <c r="E6" s="64"/>
      <c r="F6" s="64"/>
      <c r="G6" s="1"/>
    </row>
    <row r="7" spans="1:7" x14ac:dyDescent="0.25">
      <c r="A7" s="1"/>
      <c r="B7" s="1"/>
      <c r="C7" s="1"/>
      <c r="D7" s="1"/>
      <c r="E7" s="59"/>
      <c r="F7" s="1"/>
      <c r="G7" s="1"/>
    </row>
    <row r="8" spans="1:7" x14ac:dyDescent="0.25">
      <c r="A8" s="1"/>
      <c r="B8" s="107" t="s">
        <v>247</v>
      </c>
      <c r="C8" s="108"/>
      <c r="D8" s="108"/>
      <c r="E8" s="108"/>
      <c r="F8" s="109"/>
      <c r="G8" s="1"/>
    </row>
    <row r="9" spans="1:7" x14ac:dyDescent="0.25">
      <c r="A9" s="1"/>
      <c r="B9" s="101" t="s">
        <v>248</v>
      </c>
      <c r="C9" s="102"/>
      <c r="D9" s="103"/>
      <c r="E9" s="28">
        <v>-7929303</v>
      </c>
      <c r="F9" s="14" t="s">
        <v>3</v>
      </c>
      <c r="G9" s="1"/>
    </row>
    <row r="10" spans="1:7" x14ac:dyDescent="0.25">
      <c r="A10" s="1"/>
      <c r="B10" s="51"/>
      <c r="C10" s="52"/>
      <c r="D10" s="52"/>
      <c r="E10" s="52"/>
      <c r="F10" s="19"/>
      <c r="G10" s="1"/>
    </row>
    <row r="11" spans="1:7" ht="53.25" customHeight="1" x14ac:dyDescent="0.25">
      <c r="A11" s="1"/>
      <c r="B11" s="119" t="s">
        <v>249</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250</v>
      </c>
      <c r="C14" s="102"/>
      <c r="D14" s="103"/>
      <c r="E14" s="9">
        <v>-6705127</v>
      </c>
      <c r="F14" s="14" t="s">
        <v>3</v>
      </c>
      <c r="G14" s="1"/>
    </row>
    <row r="15" spans="1:7" x14ac:dyDescent="0.25">
      <c r="A15" s="1"/>
      <c r="B15" s="101" t="s">
        <v>251</v>
      </c>
      <c r="C15" s="102"/>
      <c r="D15" s="103"/>
      <c r="E15" s="9">
        <v>-6705127</v>
      </c>
      <c r="F15" s="14" t="s">
        <v>3</v>
      </c>
      <c r="G15" s="1"/>
    </row>
    <row r="16" spans="1:7" x14ac:dyDescent="0.25">
      <c r="A16" s="1"/>
      <c r="B16" s="51"/>
      <c r="C16" s="52"/>
      <c r="D16" s="52"/>
      <c r="E16" s="52"/>
      <c r="F16" s="19"/>
      <c r="G16" s="1"/>
    </row>
    <row r="17" spans="1:7" ht="32.25" customHeight="1" x14ac:dyDescent="0.25">
      <c r="A17" s="1"/>
      <c r="B17" s="119" t="s">
        <v>252</v>
      </c>
      <c r="C17" s="120"/>
      <c r="D17" s="120"/>
      <c r="E17" s="120"/>
      <c r="F17" s="121"/>
      <c r="G17" s="1"/>
    </row>
    <row r="18" spans="1:7" x14ac:dyDescent="0.25">
      <c r="A18" s="1"/>
      <c r="B18" s="1"/>
      <c r="C18" s="1"/>
      <c r="D18" s="1"/>
      <c r="E18" s="1"/>
      <c r="F18" s="1"/>
      <c r="G18" s="1"/>
    </row>
    <row r="19" spans="1:7" x14ac:dyDescent="0.25">
      <c r="A19" s="1"/>
      <c r="B19" s="65" t="s">
        <v>253</v>
      </c>
      <c r="C19" s="66"/>
      <c r="D19" s="66"/>
      <c r="E19" s="66"/>
      <c r="F19" s="67"/>
      <c r="G19" s="1"/>
    </row>
    <row r="20" spans="1:7" x14ac:dyDescent="0.25">
      <c r="A20" s="1"/>
      <c r="B20" s="68" t="s">
        <v>254</v>
      </c>
      <c r="C20" s="69"/>
      <c r="D20" s="70"/>
      <c r="E20" s="9">
        <v>21492147</v>
      </c>
      <c r="F20" s="14" t="s">
        <v>3</v>
      </c>
      <c r="G20" s="1"/>
    </row>
    <row r="21" spans="1:7" x14ac:dyDescent="0.25">
      <c r="A21" s="1"/>
      <c r="B21" s="68" t="s">
        <v>255</v>
      </c>
      <c r="C21" s="69"/>
      <c r="D21" s="70"/>
      <c r="E21" s="9">
        <v>23362143</v>
      </c>
      <c r="F21" s="14" t="s">
        <v>3</v>
      </c>
      <c r="G21" s="1"/>
    </row>
    <row r="22" spans="1:7" x14ac:dyDescent="0.25">
      <c r="A22" s="1"/>
      <c r="B22" s="68" t="s">
        <v>29</v>
      </c>
      <c r="C22" s="69"/>
      <c r="D22" s="70"/>
      <c r="E22" s="9">
        <v>0</v>
      </c>
      <c r="F22" s="14" t="s">
        <v>3</v>
      </c>
      <c r="G22" s="1"/>
    </row>
    <row r="23" spans="1:7" x14ac:dyDescent="0.25">
      <c r="A23" s="1"/>
      <c r="B23" s="73" t="s">
        <v>256</v>
      </c>
      <c r="C23" s="74"/>
      <c r="D23" s="75"/>
      <c r="E23" s="10">
        <f>E20-(E21-E22)</f>
        <v>-1869996</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7" t="s">
        <v>257</v>
      </c>
      <c r="C26" s="108"/>
      <c r="D26" s="108"/>
      <c r="E26" s="108"/>
      <c r="F26" s="109"/>
      <c r="G26" s="1"/>
    </row>
    <row r="27" spans="1:7" x14ac:dyDescent="0.25">
      <c r="A27" s="1"/>
      <c r="B27" s="129" t="s">
        <v>258</v>
      </c>
      <c r="C27" s="130"/>
      <c r="D27" s="131"/>
      <c r="E27" s="60">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259</v>
      </c>
      <c r="C30" s="108"/>
      <c r="D30" s="108"/>
      <c r="E30" s="108"/>
      <c r="F30" s="109"/>
      <c r="G30" s="1"/>
    </row>
    <row r="31" spans="1:7" x14ac:dyDescent="0.25">
      <c r="A31" s="1"/>
      <c r="B31" s="122" t="s">
        <v>117</v>
      </c>
      <c r="C31" s="123"/>
      <c r="D31" s="124"/>
      <c r="E31" s="61">
        <f>IF(AND(E9&gt;0,(E9+E23)&gt;0),0,IF(AND(E9&gt;0,(E9+E23)&lt;0),(E9+E23),IF(AND(E9&lt;0,E23&lt;0),E23,0)))</f>
        <v>-1869996</v>
      </c>
      <c r="F31" s="14" t="s">
        <v>3</v>
      </c>
      <c r="G31" s="1"/>
    </row>
    <row r="32" spans="1:7" x14ac:dyDescent="0.25">
      <c r="A32" s="1"/>
      <c r="B32" s="122" t="s">
        <v>85</v>
      </c>
      <c r="C32" s="123"/>
      <c r="D32" s="124"/>
      <c r="E32" s="9">
        <v>2</v>
      </c>
      <c r="F32" s="14" t="s">
        <v>18</v>
      </c>
      <c r="G32" s="1"/>
    </row>
    <row r="33" spans="1:7" x14ac:dyDescent="0.25">
      <c r="A33" s="1"/>
      <c r="B33" s="125" t="s">
        <v>116</v>
      </c>
      <c r="C33" s="125"/>
      <c r="D33" s="125"/>
      <c r="E33" s="60">
        <f>E31/E32</f>
        <v>-934998</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7IXo2ebGzfJ1/ijYLj0WikXt83t+vJEmod9S2HXqtqNtX7VvtwHBDdjaSxuO4INMu8jGGVjxViTdL2QRsXm8w==" saltValue="mkSaGEywwmVwVByGtKAMvA=="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rDFpVSOXumwZ+1GKf13PBLz4Iz5yEr8O5O5NGIFBbyKGy8KKmVyLOZ3xHK+pIp7IH7mfOcAgp1oZIPWxP+H2g==" saltValue="y4eQgD93O7naNMf88+Xcx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7"/>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ht="51.75" x14ac:dyDescent="0.25">
      <c r="A10" s="1"/>
      <c r="B10" s="78" t="s">
        <v>260</v>
      </c>
      <c r="C10" s="31">
        <v>50</v>
      </c>
      <c r="D10" s="9">
        <v>169770.15</v>
      </c>
      <c r="E10" s="14" t="s">
        <v>3</v>
      </c>
      <c r="F10" s="22">
        <f>IFERROR(D10/C10,0)</f>
        <v>3395.4029999999998</v>
      </c>
      <c r="G10" s="14" t="s">
        <v>3</v>
      </c>
      <c r="H10" s="9">
        <v>0</v>
      </c>
      <c r="I10" s="14" t="s">
        <v>3</v>
      </c>
      <c r="J10" s="9">
        <v>5721.25</v>
      </c>
      <c r="K10" s="14" t="s">
        <v>3</v>
      </c>
      <c r="L10" s="1"/>
    </row>
    <row r="11" spans="1:12" ht="39" x14ac:dyDescent="0.25">
      <c r="A11" s="1"/>
      <c r="B11" s="78" t="s">
        <v>261</v>
      </c>
      <c r="C11" s="31">
        <v>50</v>
      </c>
      <c r="D11" s="9">
        <v>622490.54</v>
      </c>
      <c r="E11" s="14" t="s">
        <v>3</v>
      </c>
      <c r="F11" s="22">
        <f t="shared" ref="F11:F12" si="0">IFERROR(D11/C11,0)</f>
        <v>12449.810800000001</v>
      </c>
      <c r="G11" s="14" t="s">
        <v>3</v>
      </c>
      <c r="H11" s="9">
        <v>0</v>
      </c>
      <c r="I11" s="14" t="s">
        <v>3</v>
      </c>
      <c r="J11" s="9">
        <v>20977.93</v>
      </c>
      <c r="K11" s="14" t="s">
        <v>3</v>
      </c>
      <c r="L11" s="1"/>
    </row>
    <row r="12" spans="1:12" ht="39" x14ac:dyDescent="0.25">
      <c r="A12" s="1"/>
      <c r="B12" s="78" t="s">
        <v>262</v>
      </c>
      <c r="C12" s="31">
        <v>25</v>
      </c>
      <c r="D12" s="9">
        <v>339540.29</v>
      </c>
      <c r="E12" s="14" t="s">
        <v>3</v>
      </c>
      <c r="F12" s="22">
        <f t="shared" si="0"/>
        <v>13581.611599999998</v>
      </c>
      <c r="G12" s="14" t="s">
        <v>3</v>
      </c>
      <c r="H12" s="9">
        <v>0</v>
      </c>
      <c r="I12" s="14" t="s">
        <v>3</v>
      </c>
      <c r="J12" s="9">
        <v>11442.51</v>
      </c>
      <c r="K12" s="14" t="s">
        <v>3</v>
      </c>
      <c r="L12" s="1"/>
    </row>
    <row r="13" spans="1:12" x14ac:dyDescent="0.25">
      <c r="A13" s="1"/>
      <c r="B13" s="51" t="s">
        <v>215</v>
      </c>
      <c r="C13" s="52"/>
      <c r="D13" s="19"/>
      <c r="E13" s="67"/>
      <c r="F13" s="12">
        <f>SUM(F10:F12)</f>
        <v>29426.825400000002</v>
      </c>
      <c r="G13" s="13" t="s">
        <v>3</v>
      </c>
      <c r="H13" s="12">
        <f>SUM(H10:H12)</f>
        <v>0</v>
      </c>
      <c r="I13" s="13" t="s">
        <v>3</v>
      </c>
      <c r="J13" s="12">
        <f>SUM(J10:J12)</f>
        <v>38141.69</v>
      </c>
      <c r="K13" s="13" t="s">
        <v>3</v>
      </c>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row r="47" spans="1:12" x14ac:dyDescent="0.25">
      <c r="A47" s="44"/>
      <c r="B47" s="44"/>
      <c r="C47" s="44"/>
      <c r="D47" s="44"/>
      <c r="E47" s="44"/>
      <c r="F47" s="44"/>
      <c r="G47" s="44"/>
      <c r="H47" s="44"/>
      <c r="I47" s="44"/>
      <c r="J47" s="44"/>
      <c r="K47" s="44"/>
      <c r="L47" s="44"/>
    </row>
  </sheetData>
  <sheetProtection algorithmName="SHA-512" hashValue="BL1A6yvt9vAwzh2ZcsYSRCOW3scUGUhHU/iViH6BIJCSZA5iM+zeFx36VV8AcRup/KG6hq6RRQ8S2iKiwkws5w==" saltValue="IZUxiehZIx4EXEMYFF31i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'!H13</f>
        <v>0</v>
      </c>
      <c r="D10" s="14" t="s">
        <v>3</v>
      </c>
      <c r="E10" s="9">
        <f>'Fane 9. Anlægsprojekter (§ 19) '!F13+'Fane 9. Anlægsprojekter (§ 19) '!J13</f>
        <v>67568.515400000004</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67568.515400000004</v>
      </c>
      <c r="F17" s="13" t="s">
        <v>3</v>
      </c>
      <c r="G17" s="1"/>
    </row>
    <row r="18" spans="1:7" x14ac:dyDescent="0.25">
      <c r="A18" s="1"/>
      <c r="B18" s="51" t="s">
        <v>209</v>
      </c>
      <c r="C18" s="12">
        <f>C17*(1+'Fane 13. Nøgletal'!C16)</f>
        <v>0</v>
      </c>
      <c r="D18" s="13" t="s">
        <v>3</v>
      </c>
      <c r="E18" s="12">
        <f>E17*(1+'Fane 13. Nøgletal'!C16)</f>
        <v>73028.051444320008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0O+5q6qZ6pel5GRDjiifHKR5vh3q4bhV4R8c2hLGz6YZlhpYdXeFguDYbXYDApNml8kns+sQonJtQFvyaZDDZg==" saltValue="yeW5D1qA0qOu+xFp9lN47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242</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wgv/RRoLATefBvL9L4xdaqKNcJv4QAnTgeOld/bobvHjBwxuw5LEn5AWC3k/9mVBsGtRpt/zJt5e0ck8ZUDow==" saltValue="vdk8IZbGGSQyUen7ZZBji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3" t="s">
        <v>105</v>
      </c>
      <c r="C9" s="132" t="s">
        <v>10</v>
      </c>
      <c r="D9" s="134"/>
      <c r="E9" s="132" t="s">
        <v>27</v>
      </c>
      <c r="F9" s="134"/>
      <c r="G9" s="1"/>
    </row>
    <row r="10" spans="1:7" ht="26.25" x14ac:dyDescent="0.25">
      <c r="A10" s="1"/>
      <c r="B10" s="56" t="s">
        <v>240</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OiaQ7XfbVWdTepUEuMNpNFJ7b0uzd5c5lNCa0FvMsS6IqaYLf54BLdW3tFqCmBUCIPW2s1niBVCIg3an9nD1g==" saltValue="TOXVAUdm7C9HQmWhULbLB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3" t="s">
        <v>16</v>
      </c>
      <c r="C11" s="53" t="s">
        <v>10</v>
      </c>
      <c r="D11" s="30"/>
      <c r="E11" s="53" t="s">
        <v>27</v>
      </c>
      <c r="F11" s="30"/>
      <c r="G11" s="1"/>
    </row>
    <row r="12" spans="1:7" x14ac:dyDescent="0.25">
      <c r="A12" s="1"/>
      <c r="B12" s="56" t="s">
        <v>241</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H/B3C1BQ7HVQFb4R8b9EBkiQ4oXjKaTp3WhNFBD/Be0dbYaUynL83i7QlV8lKRQ6c2NJU+h2Up0P5MgsbX5eA==" saltValue="obwgHN11BHfX4xzj3H5qh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1"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rQUSoVrtXIi9SDyf0WBMw1iXw7g7Xc7cFeC3CQRFUlFp9Mcn5MkdL2Bm9C4DAFKnI035k7sQH5cWK7SogQPnGQ==" saltValue="9HEBlIxnfOLBHtyePQs+k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22460310.789572693</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73028.051444320008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805487.73066548898</v>
      </c>
      <c r="D15" s="8" t="s">
        <v>3</v>
      </c>
      <c r="E15" s="1"/>
    </row>
    <row r="16" spans="1:5" ht="17.100000000000001" customHeight="1" x14ac:dyDescent="0.25">
      <c r="A16" s="1"/>
      <c r="B16" s="24" t="s">
        <v>9</v>
      </c>
      <c r="C16" s="9">
        <f>-SUM(C8,C9:C15)*'Fane 5. Individuelt eff. krav'!G9</f>
        <v>-230549.39607070159</v>
      </c>
      <c r="D16" s="8" t="s">
        <v>3</v>
      </c>
      <c r="E16" s="1"/>
    </row>
    <row r="17" spans="1:5" ht="17.100000000000001" customHeight="1" x14ac:dyDescent="0.25">
      <c r="A17" s="1"/>
      <c r="B17" s="24" t="s">
        <v>22</v>
      </c>
      <c r="C17" s="9">
        <f>-'Fane 4.1. Gen. krav - drift'!G49</f>
        <v>-307374.59010971518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22800902.585502092</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1910778.1041663999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5">
        <f>SUM(C23:C26)</f>
        <v>0</v>
      </c>
      <c r="D27" s="11" t="s">
        <v>3</v>
      </c>
      <c r="E27" s="1"/>
    </row>
    <row r="28" spans="1:5" ht="15" customHeight="1" x14ac:dyDescent="0.25">
      <c r="A28" s="1"/>
      <c r="B28" s="26" t="s">
        <v>117</v>
      </c>
      <c r="C28" s="52"/>
      <c r="D28" s="19"/>
      <c r="E28" s="1"/>
    </row>
    <row r="29" spans="1:5" x14ac:dyDescent="0.25">
      <c r="A29" s="1"/>
      <c r="B29" s="72" t="s">
        <v>118</v>
      </c>
      <c r="C29" s="10">
        <f>'Fane 7. Kontrol af ØR2022'!E15</f>
        <v>-6705127</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26" t="s">
        <v>263</v>
      </c>
      <c r="C32" s="52"/>
      <c r="D32" s="19"/>
      <c r="E32" s="1"/>
    </row>
    <row r="33" spans="1:5" x14ac:dyDescent="0.25">
      <c r="A33" s="1"/>
      <c r="B33" s="72" t="s">
        <v>264</v>
      </c>
      <c r="C33" s="10">
        <v>1397964</v>
      </c>
      <c r="D33" s="11" t="s">
        <v>3</v>
      </c>
      <c r="E33" s="1"/>
    </row>
    <row r="34" spans="1:5" x14ac:dyDescent="0.25">
      <c r="A34" s="1"/>
      <c r="B34" s="51" t="s">
        <v>126</v>
      </c>
      <c r="C34" s="33">
        <f>SUM(C19,C21,C27,C29,C31,C33)</f>
        <v>19404517.689668491</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a/ZtlaNllrs4LRmJcyD2v8lK0wIp93VJx2qoY6BQYiwurPGbgwSNUBjLzsMiG+JSfWWtDpZB9F4UGcV+DPapw==" saltValue="+Vo4mVzCqJdaxYb51P3WX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22800902.585502092</v>
      </c>
      <c r="D8" s="8" t="s">
        <v>3</v>
      </c>
      <c r="E8" s="1"/>
    </row>
    <row r="9" spans="1:5" ht="15" customHeight="1" x14ac:dyDescent="0.25">
      <c r="A9" s="1"/>
      <c r="B9" s="29" t="s">
        <v>17</v>
      </c>
      <c r="C9" s="9">
        <f>SUM(C8:C8)*'Fane 13. Nøgletal'!C16</f>
        <v>1842312.928908569</v>
      </c>
      <c r="D9" s="8" t="s">
        <v>3</v>
      </c>
      <c r="E9" s="1"/>
    </row>
    <row r="10" spans="1:5" ht="15" customHeight="1" x14ac:dyDescent="0.25">
      <c r="A10" s="1"/>
      <c r="B10" s="29" t="s">
        <v>9</v>
      </c>
      <c r="C10" s="9">
        <f>-SUM(C8:C9)*'Fane 5. Individuelt eff. krav'!G9</f>
        <v>-243434.62327197634</v>
      </c>
      <c r="D10" s="8" t="s">
        <v>3</v>
      </c>
      <c r="E10" s="1"/>
    </row>
    <row r="11" spans="1:5" ht="15" customHeight="1" x14ac:dyDescent="0.25">
      <c r="A11" s="1"/>
      <c r="B11" s="29" t="s">
        <v>22</v>
      </c>
      <c r="C11" s="9">
        <f>-'Fane 4.1. Gen. krav - drift'!G54</f>
        <v>-325566.24785076856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24074214.643287916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2065168.9749830449</v>
      </c>
      <c r="D15" s="11" t="s">
        <v>3</v>
      </c>
      <c r="E15" s="1"/>
    </row>
    <row r="16" spans="1:5" x14ac:dyDescent="0.25">
      <c r="A16" s="1"/>
      <c r="B16" s="26" t="s">
        <v>117</v>
      </c>
      <c r="C16" s="52"/>
      <c r="D16" s="19"/>
      <c r="E16" s="1"/>
    </row>
    <row r="17" spans="1:5" ht="15" customHeight="1" x14ac:dyDescent="0.25">
      <c r="A17" s="1"/>
      <c r="B17" s="72" t="s">
        <v>118</v>
      </c>
      <c r="C17" s="10">
        <f>'Fane 7. Kontrol af ØR2022'!E33</f>
        <v>-934998</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25204385.61827096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ZOQX6Zp7FCEoF4KFECDvfbBR7LUXkWoXi0UJ0r6Xh+ZUP9cAdr7D6YGYN8y3dRgXE07rrIAH1HtaecV6t0J2A==" saltValue="AdtfFujtG2LJylM94CpNe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24074214.643287916</v>
      </c>
      <c r="D8" s="8" t="s">
        <v>3</v>
      </c>
      <c r="E8" s="1"/>
    </row>
    <row r="9" spans="1:5" ht="15" customHeight="1" x14ac:dyDescent="0.25">
      <c r="A9" s="1"/>
      <c r="B9" s="29" t="s">
        <v>17</v>
      </c>
      <c r="C9" s="9">
        <f>SUM(C8:C8)*'Fane 13. Nøgletal'!C16</f>
        <v>1945196.5431776636</v>
      </c>
      <c r="D9" s="8" t="s">
        <v>3</v>
      </c>
      <c r="E9" s="1"/>
    </row>
    <row r="10" spans="1:5" ht="15" customHeight="1" x14ac:dyDescent="0.25">
      <c r="A10" s="1"/>
      <c r="B10" s="29" t="s">
        <v>9</v>
      </c>
      <c r="C10" s="9">
        <f>-SUM(C8:C9)*'Fane 5. Individuelt eff. krav'!G9</f>
        <v>-257029.18339662027</v>
      </c>
      <c r="D10" s="8" t="s">
        <v>3</v>
      </c>
      <c r="E10" s="1"/>
    </row>
    <row r="11" spans="1:5" ht="15" customHeight="1" x14ac:dyDescent="0.25">
      <c r="A11" s="1"/>
      <c r="B11" s="29" t="s">
        <v>22</v>
      </c>
      <c r="C11" s="9">
        <f>-'Fane 4.1. Gen. krav - drift'!G59</f>
        <v>-344834.56066356838</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25417547.442405391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2232034.6281616748</v>
      </c>
      <c r="D15" s="11" t="s">
        <v>3</v>
      </c>
      <c r="E15" s="1"/>
    </row>
    <row r="16" spans="1:5" x14ac:dyDescent="0.25">
      <c r="A16" s="1"/>
      <c r="B16" s="51" t="s">
        <v>117</v>
      </c>
      <c r="C16" s="52"/>
      <c r="D16" s="19"/>
      <c r="E16" s="1"/>
    </row>
    <row r="17" spans="1:5" x14ac:dyDescent="0.25">
      <c r="A17" s="1"/>
      <c r="B17" s="53" t="s">
        <v>118</v>
      </c>
      <c r="C17" s="10">
        <f>'Fane 7. Kontrol af ØR2022'!E33</f>
        <v>-934998</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26714584.070567068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UNFc2MigBSNhZhB4qfUzYsTTt0GUw45u1MT+ce6xkbid4kRdHMc9MOG75QnOOfYral0EOO2WKU8mG7uQm83rw==" saltValue="psLD0CWVTZY8vARAqNwgV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25417547.442405391</v>
      </c>
      <c r="D8" s="8" t="s">
        <v>3</v>
      </c>
      <c r="E8" s="1"/>
    </row>
    <row r="9" spans="1:5" ht="15" customHeight="1" x14ac:dyDescent="0.25">
      <c r="A9" s="1"/>
      <c r="B9" s="29" t="s">
        <v>17</v>
      </c>
      <c r="C9" s="9">
        <f>SUM(C8:C8)*'Fane 13. Nøgletal'!C16</f>
        <v>2053737.8333463555</v>
      </c>
      <c r="D9" s="8" t="s">
        <v>3</v>
      </c>
      <c r="E9" s="1"/>
    </row>
    <row r="10" spans="1:5" ht="15" customHeight="1" x14ac:dyDescent="0.25">
      <c r="A10" s="1"/>
      <c r="B10" s="29" t="s">
        <v>9</v>
      </c>
      <c r="C10" s="9">
        <f>-SUM(C8:C9)*'Fane 5. Individuelt eff. krav'!G9</f>
        <v>-271371.32238238055</v>
      </c>
      <c r="D10" s="8" t="s">
        <v>3</v>
      </c>
      <c r="E10" s="1"/>
    </row>
    <row r="11" spans="1:5" ht="15" customHeight="1" x14ac:dyDescent="0.25">
      <c r="A11" s="1"/>
      <c r="B11" s="29" t="s">
        <v>22</v>
      </c>
      <c r="C11" s="9">
        <f>-'Fane 4.1. Gen. krav - drift'!G64</f>
        <v>-365243.24930188101</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26834670.704067487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2412383.0261171381</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29247053.730184626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4/FgONYLpenY0ijyFjIx2p2zHyxg5ibOU+/JFZc3+Zfzz/iBPKu1cBLgnvRsj7Ee4/Y/AzNXRcEXQPshsVdgg==" saltValue="EFpF9wixYrwG4Z++p6GgU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20475923.958083246</v>
      </c>
      <c r="D8" s="8" t="s">
        <v>3</v>
      </c>
      <c r="E8" s="1"/>
    </row>
    <row r="9" spans="1:5" x14ac:dyDescent="0.25">
      <c r="A9" s="1"/>
      <c r="B9" s="24" t="s">
        <v>33</v>
      </c>
      <c r="C9" s="7">
        <v>572893.92000000004</v>
      </c>
      <c r="D9" s="8" t="s">
        <v>3</v>
      </c>
      <c r="E9" s="1"/>
    </row>
    <row r="10" spans="1:5" x14ac:dyDescent="0.25">
      <c r="A10" s="1"/>
      <c r="B10" s="24" t="s">
        <v>34</v>
      </c>
      <c r="C10" s="9">
        <v>1151146.0758240002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790318.716759098</v>
      </c>
      <c r="D15" s="8" t="s">
        <v>3</v>
      </c>
      <c r="E15" s="1"/>
    </row>
    <row r="16" spans="1:5" x14ac:dyDescent="0.25">
      <c r="A16" s="1"/>
      <c r="B16" s="24" t="s">
        <v>9</v>
      </c>
      <c r="C16" s="9">
        <v>-227106.35296668793</v>
      </c>
      <c r="D16" s="8" t="s">
        <v>3</v>
      </c>
      <c r="E16" s="1"/>
    </row>
    <row r="17" spans="1:5" x14ac:dyDescent="0.25">
      <c r="A17" s="1"/>
      <c r="B17" s="24" t="s">
        <v>22</v>
      </c>
      <c r="C17" s="9">
        <v>-302865.52812696097</v>
      </c>
      <c r="D17" s="8" t="s">
        <v>3</v>
      </c>
      <c r="E17" s="1"/>
    </row>
    <row r="18" spans="1:5" x14ac:dyDescent="0.25">
      <c r="A18" s="1"/>
      <c r="B18" s="24" t="s">
        <v>23</v>
      </c>
      <c r="C18" s="9">
        <v>0</v>
      </c>
      <c r="D18" s="8" t="s">
        <v>3</v>
      </c>
      <c r="E18" s="1"/>
    </row>
    <row r="19" spans="1:5" x14ac:dyDescent="0.25">
      <c r="A19" s="1"/>
      <c r="B19" s="73" t="s">
        <v>19</v>
      </c>
      <c r="C19" s="10">
        <v>22460310.789572693</v>
      </c>
      <c r="D19" s="11" t="s">
        <v>3</v>
      </c>
      <c r="E19" s="1"/>
    </row>
    <row r="20" spans="1:5" x14ac:dyDescent="0.25">
      <c r="A20" s="1"/>
      <c r="B20" s="51" t="s">
        <v>11</v>
      </c>
      <c r="C20" s="52"/>
      <c r="D20" s="19"/>
      <c r="E20" s="1"/>
    </row>
    <row r="21" spans="1:5" x14ac:dyDescent="0.25">
      <c r="A21" s="1"/>
      <c r="B21" s="53" t="s">
        <v>11</v>
      </c>
      <c r="C21" s="10">
        <v>2512403.8637630404</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5">
        <v>0</v>
      </c>
      <c r="D27" s="11" t="s">
        <v>3</v>
      </c>
      <c r="E27" s="1"/>
    </row>
    <row r="28" spans="1:5" x14ac:dyDescent="0.25">
      <c r="A28" s="1"/>
      <c r="B28" s="26" t="s">
        <v>117</v>
      </c>
      <c r="C28" s="52"/>
      <c r="D28" s="19"/>
      <c r="E28" s="1"/>
    </row>
    <row r="29" spans="1:5" x14ac:dyDescent="0.25">
      <c r="A29" s="1"/>
      <c r="B29" s="72" t="s">
        <v>118</v>
      </c>
      <c r="C29" s="10">
        <v>-6705127.1923349947</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238</v>
      </c>
      <c r="C32" s="33">
        <v>18267587.461000741</v>
      </c>
      <c r="D32" s="19" t="s">
        <v>3</v>
      </c>
      <c r="E32" s="1"/>
    </row>
    <row r="33" spans="1:5" ht="30" customHeight="1" x14ac:dyDescent="0.25">
      <c r="A33" s="1"/>
      <c r="B33" s="99" t="s">
        <v>239</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c8qT+LSHf2GOZUvfirKmgICn4FKXIzoYWx2iLGW0+mjGU1Kj4aS5zbCYAKZwgdrt0bxS1FVeZZjIO5ViEJITA==" saltValue="geHITSDOozOaUh+/lEcB0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13825222</v>
      </c>
      <c r="H5" s="14" t="s">
        <v>3</v>
      </c>
      <c r="I5" s="1"/>
    </row>
    <row r="6" spans="1:9" x14ac:dyDescent="0.25">
      <c r="A6" s="1"/>
      <c r="B6" s="101" t="s">
        <v>37</v>
      </c>
      <c r="C6" s="102"/>
      <c r="D6" s="102"/>
      <c r="E6" s="102"/>
      <c r="F6" s="103"/>
      <c r="G6" s="22">
        <f>G5*'Fane 13. Nøgletal'!C33</f>
        <v>276504.44</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13720786.273011999</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274415.72546023998</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13673614.209805382</v>
      </c>
      <c r="H16" s="14" t="s">
        <v>3</v>
      </c>
      <c r="I16" s="1"/>
    </row>
    <row r="17" spans="1:9" x14ac:dyDescent="0.25">
      <c r="A17" s="1"/>
      <c r="B17" s="101" t="s">
        <v>100</v>
      </c>
      <c r="C17" s="102"/>
      <c r="D17" s="102"/>
      <c r="E17" s="102"/>
      <c r="F17" s="103"/>
      <c r="G17" s="47">
        <v>-0.38825260448766313</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273472.27643105556</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13626603.937234279</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272532.07874468557</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13516991.535163166</v>
      </c>
      <c r="H29" s="14" t="s">
        <v>3</v>
      </c>
      <c r="I29" s="1"/>
    </row>
    <row r="30" spans="1:9" x14ac:dyDescent="0.25">
      <c r="A30" s="1"/>
      <c r="B30" s="101" t="s">
        <v>231</v>
      </c>
      <c r="C30" s="102"/>
      <c r="D30" s="102"/>
      <c r="E30" s="102"/>
      <c r="F30" s="103"/>
      <c r="G30" s="47">
        <v>199175.36814251999</v>
      </c>
      <c r="H30" s="14" t="s">
        <v>3</v>
      </c>
      <c r="I30" s="1"/>
    </row>
    <row r="31" spans="1:9" x14ac:dyDescent="0.25">
      <c r="A31" s="1"/>
      <c r="B31" s="101" t="s">
        <v>115</v>
      </c>
      <c r="C31" s="102"/>
      <c r="D31" s="102"/>
      <c r="E31" s="102"/>
      <c r="F31" s="103"/>
      <c r="G31" s="22">
        <f>(G29+G30)*'Fane 13. Nøgletal'!C33</f>
        <v>274323.33806611371</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13605834.056735493</v>
      </c>
      <c r="H35" s="14" t="s">
        <v>3</v>
      </c>
      <c r="I35" s="1"/>
    </row>
    <row r="36" spans="1:9" x14ac:dyDescent="0.25">
      <c r="A36" s="1"/>
      <c r="B36" s="101" t="s">
        <v>232</v>
      </c>
      <c r="C36" s="102"/>
      <c r="D36" s="102"/>
      <c r="E36" s="102"/>
      <c r="F36" s="103"/>
      <c r="G36" s="47">
        <v>730710.9243816802</v>
      </c>
      <c r="H36" s="14" t="s">
        <v>3</v>
      </c>
      <c r="I36" s="1"/>
    </row>
    <row r="37" spans="1:9" x14ac:dyDescent="0.25">
      <c r="A37" s="1"/>
      <c r="B37" s="101" t="s">
        <v>123</v>
      </c>
      <c r="C37" s="102"/>
      <c r="D37" s="102"/>
      <c r="E37" s="102"/>
      <c r="F37" s="103"/>
      <c r="G37" s="22">
        <f>(G35+G36)*'Fane 13. Nøgletal'!C33</f>
        <v>286730.89962234348</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14549987.462796047</v>
      </c>
      <c r="H41" s="14" t="s">
        <v>3</v>
      </c>
      <c r="I41" s="1"/>
    </row>
    <row r="42" spans="1:9" x14ac:dyDescent="0.25">
      <c r="A42" s="1"/>
      <c r="B42" s="101" t="s">
        <v>156</v>
      </c>
      <c r="C42" s="102"/>
      <c r="D42" s="102"/>
      <c r="E42" s="102"/>
      <c r="F42" s="103"/>
      <c r="G42" s="22">
        <v>593288.9435520001</v>
      </c>
      <c r="H42" s="14" t="s">
        <v>3</v>
      </c>
      <c r="I42" s="1"/>
    </row>
    <row r="43" spans="1:9" x14ac:dyDescent="0.25">
      <c r="A43" s="1"/>
      <c r="B43" s="101" t="s">
        <v>166</v>
      </c>
      <c r="C43" s="102"/>
      <c r="D43" s="102"/>
      <c r="E43" s="102"/>
      <c r="F43" s="103"/>
      <c r="G43" s="22">
        <f>(G41+G42)*'Fane 13. Nøgletal'!C33</f>
        <v>302865.52812696097</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15368729.505485758</v>
      </c>
      <c r="H47" s="14" t="s">
        <v>3</v>
      </c>
      <c r="I47" s="1"/>
    </row>
    <row r="48" spans="1:9" x14ac:dyDescent="0.25">
      <c r="A48" s="1"/>
      <c r="B48" s="101" t="s">
        <v>206</v>
      </c>
      <c r="C48" s="102"/>
      <c r="D48" s="102"/>
      <c r="E48" s="102"/>
      <c r="F48" s="103"/>
      <c r="G48" s="62">
        <f>('Fane 2.1. Økonomisk ramme 2024'!C9+'Fane 2.1. Økonomisk ramme 2024'!C11+'Fane 2.1. Økonomisk ramme 2024'!C13)*(1+'Fane 13. Nøgletal'!C16)</f>
        <v>0</v>
      </c>
      <c r="H48" s="14" t="s">
        <v>3</v>
      </c>
      <c r="I48" s="1"/>
    </row>
    <row r="49" spans="1:9" x14ac:dyDescent="0.25">
      <c r="A49" s="1"/>
      <c r="B49" s="101" t="s">
        <v>167</v>
      </c>
      <c r="C49" s="102"/>
      <c r="D49" s="102"/>
      <c r="E49" s="102"/>
      <c r="F49" s="103"/>
      <c r="G49" s="22">
        <f>G47*'Fane 13. Nøgletal'!C33+G48*'Fane 13. Nøgletal'!C33</f>
        <v>307374.59010971518</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16278312.392538426</v>
      </c>
      <c r="H53" s="14" t="s">
        <v>3</v>
      </c>
      <c r="I53" s="1"/>
    </row>
    <row r="54" spans="1:9" x14ac:dyDescent="0.25">
      <c r="A54" s="1"/>
      <c r="B54" s="101" t="s">
        <v>135</v>
      </c>
      <c r="C54" s="102"/>
      <c r="D54" s="102"/>
      <c r="E54" s="102"/>
      <c r="F54" s="103"/>
      <c r="G54" s="22">
        <f>(G53)*'Fane 13. Nøgletal'!C33</f>
        <v>325566.24785076856</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17241728.033178419</v>
      </c>
      <c r="H58" s="14" t="s">
        <v>3</v>
      </c>
      <c r="I58" s="1"/>
    </row>
    <row r="59" spans="1:9" x14ac:dyDescent="0.25">
      <c r="A59" s="1"/>
      <c r="B59" s="101" t="s">
        <v>146</v>
      </c>
      <c r="C59" s="102"/>
      <c r="D59" s="102"/>
      <c r="E59" s="102"/>
      <c r="F59" s="103"/>
      <c r="G59" s="22">
        <f>(G58)*'Fane 13. Nøgletal'!C33</f>
        <v>344834.56066356838</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18262162.465094049</v>
      </c>
      <c r="H63" s="14" t="s">
        <v>3</v>
      </c>
      <c r="I63" s="1"/>
    </row>
    <row r="64" spans="1:9" x14ac:dyDescent="0.25">
      <c r="A64" s="1"/>
      <c r="B64" s="101" t="s">
        <v>222</v>
      </c>
      <c r="C64" s="102"/>
      <c r="D64" s="102"/>
      <c r="E64" s="102"/>
      <c r="F64" s="103"/>
      <c r="G64" s="22">
        <f>(G63)*'Fane 13. Nøgletal'!C33</f>
        <v>365243.24930188101</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UX4B30GVZPphm+TsptF40XW6xEPRoxQqp0BndYvU0Zxf5R/JCJK+k/SJqo4ZylXWJ6tZPT0ddKEOeEMlLJtzMQ==" saltValue="QgyJCMkb5DzMa+Z9IoIM/A=="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5661132</v>
      </c>
      <c r="H5" s="14" t="s">
        <v>3</v>
      </c>
      <c r="I5" s="1"/>
    </row>
    <row r="6" spans="1:9" x14ac:dyDescent="0.25">
      <c r="A6" s="1"/>
      <c r="B6" s="101" t="s">
        <v>49</v>
      </c>
      <c r="C6" s="102"/>
      <c r="D6" s="102"/>
      <c r="E6" s="102"/>
      <c r="F6" s="103"/>
      <c r="G6" s="22">
        <f>G5*'Fane 13. Nøgletal'!C21</f>
        <v>51516.301200000002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5680857.8181747599</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51695.806145390314</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5724294.8500326648</v>
      </c>
      <c r="H16" s="14" t="s">
        <v>3</v>
      </c>
      <c r="I16" s="1"/>
    </row>
    <row r="17" spans="1:9" x14ac:dyDescent="0.25">
      <c r="A17" s="1"/>
      <c r="B17" s="101" t="s">
        <v>101</v>
      </c>
      <c r="C17" s="102"/>
      <c r="D17" s="102"/>
      <c r="E17" s="102"/>
      <c r="F17" s="103"/>
      <c r="G17" s="47">
        <v>-90846.100503005378</v>
      </c>
      <c r="H17" s="14" t="s">
        <v>3</v>
      </c>
      <c r="I17" s="1"/>
    </row>
    <row r="18" spans="1:9" x14ac:dyDescent="0.25">
      <c r="A18" s="1"/>
      <c r="B18" s="104" t="s">
        <v>58</v>
      </c>
      <c r="C18" s="105"/>
      <c r="D18" s="105"/>
      <c r="E18" s="105"/>
      <c r="F18" s="106"/>
      <c r="G18" s="47">
        <v>0</v>
      </c>
      <c r="H18" s="14" t="s">
        <v>3</v>
      </c>
      <c r="I18" s="1"/>
    </row>
    <row r="19" spans="1:9" x14ac:dyDescent="0.25">
      <c r="A19" s="1"/>
      <c r="B19" s="101" t="s">
        <v>59</v>
      </c>
      <c r="C19" s="102"/>
      <c r="D19" s="102"/>
      <c r="E19" s="102"/>
      <c r="F19" s="103"/>
      <c r="G19" s="22">
        <f>(G16+G17+G18)*'Fane 13. Nøgletal'!C23</f>
        <v>49011.004120908037</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5678814.743306159</v>
      </c>
      <c r="H23" s="14" t="s">
        <v>3</v>
      </c>
      <c r="I23" s="1"/>
    </row>
    <row r="24" spans="1:9" x14ac:dyDescent="0.25">
      <c r="A24" s="1"/>
      <c r="B24" s="104" t="s">
        <v>62</v>
      </c>
      <c r="C24" s="105"/>
      <c r="D24" s="105"/>
      <c r="E24" s="105"/>
      <c r="F24" s="106"/>
      <c r="G24" s="47">
        <v>7451.911691888401</v>
      </c>
      <c r="H24" s="14" t="s">
        <v>3</v>
      </c>
      <c r="I24" s="1"/>
    </row>
    <row r="25" spans="1:9" x14ac:dyDescent="0.25">
      <c r="A25" s="1"/>
      <c r="B25" s="101" t="s">
        <v>63</v>
      </c>
      <c r="C25" s="102"/>
      <c r="D25" s="102"/>
      <c r="E25" s="102"/>
      <c r="F25" s="103"/>
      <c r="G25" s="22">
        <f>G23*'Fane 13. Nøgletal'!C23+G24*'Fane 13. Nøgletal'!C24</f>
        <v>49617.322558813212</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5705416.4542949935</v>
      </c>
      <c r="H29" s="14" t="s">
        <v>3</v>
      </c>
      <c r="I29" s="1"/>
    </row>
    <row r="30" spans="1:9" x14ac:dyDescent="0.25">
      <c r="A30" s="1"/>
      <c r="B30" s="101" t="s">
        <v>113</v>
      </c>
      <c r="C30" s="102"/>
      <c r="D30" s="102"/>
      <c r="E30" s="102"/>
      <c r="F30" s="103"/>
      <c r="G30" s="47">
        <v>1312725.7413244799</v>
      </c>
      <c r="H30" s="14" t="s">
        <v>3</v>
      </c>
      <c r="I30" s="1"/>
    </row>
    <row r="31" spans="1:9" x14ac:dyDescent="0.25">
      <c r="A31" s="1"/>
      <c r="B31" s="101" t="s">
        <v>120</v>
      </c>
      <c r="C31" s="102"/>
      <c r="D31" s="102"/>
      <c r="E31" s="102"/>
      <c r="F31" s="103"/>
      <c r="G31" s="22">
        <f>(G29+G30)*'Fane 13. Nøgletal'!C25</f>
        <v>192998.91037953552</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6908410.0333198644</v>
      </c>
      <c r="H35" s="14" t="s">
        <v>3</v>
      </c>
      <c r="I35" s="1"/>
    </row>
    <row r="36" spans="1:9" x14ac:dyDescent="0.25">
      <c r="A36" s="1"/>
      <c r="B36" s="101" t="s">
        <v>129</v>
      </c>
      <c r="C36" s="102"/>
      <c r="D36" s="102"/>
      <c r="E36" s="102"/>
      <c r="F36" s="103"/>
      <c r="G36" s="62">
        <v>0</v>
      </c>
      <c r="H36" s="14" t="s">
        <v>3</v>
      </c>
      <c r="I36" s="1"/>
    </row>
    <row r="37" spans="1:9" x14ac:dyDescent="0.25">
      <c r="A37" s="1"/>
      <c r="B37" s="101" t="s">
        <v>125</v>
      </c>
      <c r="C37" s="102"/>
      <c r="D37" s="102"/>
      <c r="E37" s="102"/>
      <c r="F37" s="103"/>
      <c r="G37" s="22">
        <f>G35*'Fane 13. Nøgletal'!C25+G36*'Fane 13. Nøgletal'!C26</f>
        <v>189981.27591629626</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6957604.8211671356</v>
      </c>
      <c r="H41" s="14" t="s">
        <v>3</v>
      </c>
      <c r="I41" s="1"/>
    </row>
    <row r="42" spans="1:9" x14ac:dyDescent="0.25">
      <c r="A42" s="1"/>
      <c r="B42" s="101" t="s">
        <v>169</v>
      </c>
      <c r="C42" s="102"/>
      <c r="D42" s="102"/>
      <c r="E42" s="102"/>
      <c r="F42" s="103"/>
      <c r="G42" s="9">
        <v>1192126.8761233347</v>
      </c>
      <c r="H42" s="14" t="s">
        <v>3</v>
      </c>
      <c r="I42" s="1"/>
    </row>
    <row r="43" spans="1:9" x14ac:dyDescent="0.25">
      <c r="A43" s="1"/>
      <c r="B43" s="101" t="s">
        <v>65</v>
      </c>
      <c r="C43" s="102"/>
      <c r="D43" s="102"/>
      <c r="E43" s="102"/>
      <c r="F43" s="103"/>
      <c r="G43" s="62">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8439862.1457140129</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78928.718001021058</v>
      </c>
      <c r="H48" s="14" t="s">
        <v>3</v>
      </c>
      <c r="I48" s="1"/>
    </row>
    <row r="49" spans="1:9" x14ac:dyDescent="0.25">
      <c r="A49" s="1"/>
      <c r="B49" s="101" t="s">
        <v>211</v>
      </c>
      <c r="C49" s="102"/>
      <c r="D49" s="102"/>
      <c r="E49" s="102"/>
      <c r="F49" s="103"/>
      <c r="G49" s="62">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9207109.1655032095</v>
      </c>
      <c r="H53" s="14" t="s">
        <v>3</v>
      </c>
      <c r="I53" s="1"/>
    </row>
    <row r="54" spans="1:9" x14ac:dyDescent="0.25">
      <c r="A54" s="1"/>
      <c r="B54" s="101" t="s">
        <v>132</v>
      </c>
      <c r="C54" s="102"/>
      <c r="D54" s="102"/>
      <c r="E54" s="102"/>
      <c r="F54" s="103"/>
      <c r="G54" s="62">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9951043.5860758685</v>
      </c>
      <c r="H58" s="14" t="s">
        <v>3</v>
      </c>
      <c r="I58" s="1"/>
    </row>
    <row r="59" spans="1:9" x14ac:dyDescent="0.25">
      <c r="A59" s="1"/>
      <c r="B59" s="101" t="s">
        <v>149</v>
      </c>
      <c r="C59" s="102"/>
      <c r="D59" s="102"/>
      <c r="E59" s="102"/>
      <c r="F59" s="103"/>
      <c r="G59" s="62">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10755087.907830799</v>
      </c>
      <c r="H63" s="14" t="s">
        <v>3</v>
      </c>
      <c r="I63" s="1"/>
    </row>
    <row r="64" spans="1:9" x14ac:dyDescent="0.25">
      <c r="A64" s="1"/>
      <c r="B64" s="101" t="s">
        <v>225</v>
      </c>
      <c r="C64" s="102"/>
      <c r="D64" s="102"/>
      <c r="E64" s="102"/>
      <c r="F64" s="103"/>
      <c r="G64" s="62">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nXDAmgNJC4wxSb7Xq3NZ1lcPtOX8xWwNONcM8W3SKdNOjAURRxD5zyxbrhgStx9UPPl9SDRzxFMNLTP0xjqWwg==" saltValue="A7yJaBfF/PfBHAruiaE3D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63">
        <v>9.8783627944016728E-3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EVt6kBNP7Eh0I6prwELKJ9UlDCXhsL2JpNgZbpm2VZEIk6TwY4XkIKmhv6J8AneB0tOsDJORIjnexdDUPfz3mQ==" saltValue="Lu/g6/gSkAwEGCsW/td6y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2023-11-28T14:53:50Z</dcterms:modified>
</cp:coreProperties>
</file>