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Vordingborg Spildevand AS (S107)\ØR2024\"/>
    </mc:Choice>
  </mc:AlternateContent>
  <xr:revisionPtr revIDLastSave="0" documentId="13_ncr:1_{FA2818D4-106A-4E7C-9158-DF985D99B77E}"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C20" i="15" l="1"/>
  <c r="C32" i="2"/>
  <c r="E16" i="44"/>
  <c r="E18" i="44" s="1"/>
  <c r="E17" i="44"/>
  <c r="E25" i="44" l="1"/>
  <c r="E29" i="44" s="1"/>
  <c r="E31" i="44" s="1"/>
  <c r="C9" i="2"/>
  <c r="E30" i="20" l="1"/>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37" i="36" l="1"/>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<sst xmlns="http://schemas.openxmlformats.org/spreadsheetml/2006/main" count="658" uniqueCount="294">
  <si>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</si>
  <si>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</si>
  <si>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</si>
  <si>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</si>
  <si>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</si>
  <si>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</si>
  <si>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</si>
  <si>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</si>
  <si>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</si>
  <si>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</si>
  <si>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</si>
  <si>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</si>
  <si>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</si>
  <si>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</si>
  <si>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</si>
  <si>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</si>
  <si>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</si>
  <si>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</si>
  <si>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</si>
  <si>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</si>
  <si>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</si>
  <si>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</si>
  <si>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</si>
  <si>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</si>
  <si>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</si>
  <si>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</si>
  <si>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</si>
  <si>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</si>
  <si>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</si>
  <si>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</si>
  <si>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</si>
  <si>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</si>
  <si>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</si>
  <si>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</si>
  <si>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</si>
  <si>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</si>
  <si>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</si>
  <si>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</si>
  <si>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</si>
  <si>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</si>
  <si>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</si>
  <si>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</si>
  <si>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</si>
  <si>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</si>
  <si>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</si>
  <si>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</si>
  <si>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</si>
  <si>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</si>
  <si>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</si>
  <si>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</si>
  <si>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</si>
  <si>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</si>
  <si>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</si>
  <si>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</si>
  <si>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</si>
  <si>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</si>
  <si>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</si>
  <si>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</si>
  <si>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</si>
  <si>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</si>
  <si>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</si>
  <si>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</si>
  <si>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</si>
  <si>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</si>
  <si>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</si>
  <si>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</si>
  <si>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</si>
  <si>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</si>
  <si>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</si>
  <si>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</si>
  <si>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</si>
  <si>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</si>
  <si>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</si>
  <si>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</si>
  <si>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</si>
  <si>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</si>
  <si>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</si>
  <si>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</si>
  <si>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</si>
  <si>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</si>
  <si>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</si>
  <si>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</si>
  <si>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</si>
  <si>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</si>
  <si>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</si>
  <si>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</si>
  <si>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</si>
  <si>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</si>
  <si>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</si>
  <si>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</si>
  <si>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</si>
  <si>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</si>
  <si>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</si>
  <si>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</si>
  <si>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</si>
  <si>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</si>
  <si>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</si>
  <si>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</si>
  <si>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</si>
  <si>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</si>
  <si>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</si>
  <si>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</si>
  <si>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</si>
  <si>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</si>
  <si>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</si>
  <si>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</si>
  <si>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</si>
  <si>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</si>
  <si>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</si>
  <si>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</si>
  <si>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</si>
  <si>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</si>
  <si>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</si>
  <si>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</si>
  <si>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</si>
  <si>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</si>
  <si>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</si>
  <si>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</si>
  <si>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</si>
  <si>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</si>
  <si>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</si>
  <si>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</si>
  <si>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</si>
  <si>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</si>
  <si>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</si>
  <si>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</si>
  <si>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</si>
  <si>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</si>
  <si>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</si>
  <si>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</si>
  <si>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</si>
  <si>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</si>
  <si>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</si>
  <si>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</si>
  <si>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</si>
  <si>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</si>
  <si>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</si>
  <si>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</si>
  <si>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</si>
  <si>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</si>
  <si>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</si>
  <si>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</si>
  <si>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</si>
  <si>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</si>
  <si>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</si>
  <si>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</si>
  <si>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</si>
  <si>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</si>
  <si>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</si>
  <si>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</si>
  <si>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</si>
  <si>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</si>
  <si>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</si>
  <si>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</si>
  <si>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</si>
  <si>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</si>
  <si>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</si>
  <si>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</si>
  <si>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</si>
  <si>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</si>
  <si>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</si>
  <si>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</si>
  <si>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</si>
  <si>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</si>
  <si>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</si>
  <si>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</si>
  <si>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</si>
  <si>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</si>
  <si>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</si>
  <si>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</si>
  <si>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</si>
  <si>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</si>
  <si>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</si>
  <si>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</si>
  <si>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</si>
  <si>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</si>
  <si>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</si>
  <si>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</si>
  <si>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</si>
  <si>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</si>
  <si>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</si>
  <si>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</si>
  <si>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</si>
  <si>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</si>
  <si>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</si>
  <si>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</si>
  <si>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</si>
  <si>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</si>
  <si>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</si>
  <si>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</si>
  <si>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</si>
  <si>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</si>
  <si>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</si>
  <si>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</si>
  <si>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</si>
  <si>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</si>
  <si>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</si>
  <si>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</si>
  <si>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</si>
  <si>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</si>
  <si>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</si>
  <si>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</si>
  <si>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</si>
  <si>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</si>
  <si>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</si>
  <si>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</si>
  <si>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</si>
  <si>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</si>
  <si>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</si>
  <si>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</si>
  <si>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</si>
  <si>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</si>
  <si>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</si>
  <si>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</si>
  <si>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</si>
  <si>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</si>
  <si>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</si>
  <si>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</si>
  <si>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</si>
  <si>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</si>
  <si>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</si>
  <si>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</si>
  <si>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</si>
  <si>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</si>
  <si>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</si>
  <si>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</si>
  <si>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</si>
  <si>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</si>
  <si>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</si>
  <si>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</si>
  <si>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</si>
  <si>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</si>
  <si>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</si>
  <si>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</si>
  <si>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</si>
  <si>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</si>
  <si>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</si>
  <si>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</si>
  <si>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</si>
  <si>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</si>
  <si>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</si>
  <si>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</si>
  <si>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</si>
  <si>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</si>
  <si>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</si>
  <si>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</si>
  <si>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</si>
  <si>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</si>
  <si>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</si>
  <si>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</si>
  <si>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</si>
  <si>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</si>
  <si>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</si>
  <si>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</si>
  <si>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</si>
  <si>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</si>
  <si>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</si>
  <si>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</si>
  <si>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</si>
  <si>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</si>
  <si>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</si>
  <si>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</si>
  <si>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</si>
  <si>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</si>
  <si>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</si>
  <si>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</si>
  <si>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</si>
  <si>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</si>
  <si>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</si>
  <si>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</si>
  <si>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</si>
  <si>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</si>
  <si>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</si>
  <si>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</si>
  <si>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Ejendomsskatter</t>
  </si>
  <si>
    <t>Overløbsbygværker registrering mm</t>
  </si>
  <si>
    <t>Regnvandsbassin Elmealle og Aa</t>
  </si>
  <si>
    <t>Seperatkloak Lendemarke Syd/No</t>
  </si>
  <si>
    <t>Uvedkommende vand generelt</t>
  </si>
  <si>
    <t>Nye kunder - Etablere stik</t>
  </si>
  <si>
    <t>Åbent land</t>
  </si>
  <si>
    <t>Ingen engangstillæg</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</si>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</sst>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HfJJYwIOAoRj4i2eddzu7DnOQ0TF6Tej5Yz1LgRYe/NVkJebiNRU/7Y0AxcyoyK83XiUYzfewcqvRhA91yOyWg==" saltValue="aWNdUvMU4Ffdi8tpatsdl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272</v>
      </c>
      <c r="C10" s="9">
        <v>1684384</v>
      </c>
      <c r="D10" s="14" t="s">
        <v>3</v>
      </c>
      <c r="E10" s="1"/>
      <c r="F10" s="1"/>
    </row>
    <row r="11" spans="1:6" ht="15" customHeight="1" x14ac:dyDescent="0.25">
      <c r="A11" s="1"/>
      <c r="B11" s="81" t="s">
        <v>273</v>
      </c>
      <c r="C11" s="9">
        <v>98855</v>
      </c>
      <c r="D11" s="14" t="s">
        <v>3</v>
      </c>
      <c r="E11" s="1"/>
      <c r="F11" s="1"/>
    </row>
    <row r="12" spans="1:6" x14ac:dyDescent="0.25">
      <c r="A12" s="1"/>
      <c r="B12" s="81" t="s">
        <v>274</v>
      </c>
      <c r="C12" s="9">
        <v>349596</v>
      </c>
      <c r="D12" s="14" t="s">
        <v>3</v>
      </c>
      <c r="E12" s="1"/>
      <c r="F12" s="1"/>
    </row>
    <row r="13" spans="1:6" x14ac:dyDescent="0.25">
      <c r="A13" s="1"/>
      <c r="B13" s="81"/>
      <c r="C13" s="9"/>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2132835</v>
      </c>
      <c r="D20" s="13" t="s">
        <v>3</v>
      </c>
      <c r="E20" s="1"/>
      <c r="F20" s="1"/>
    </row>
    <row r="21" spans="1:6" x14ac:dyDescent="0.25">
      <c r="A21" s="1"/>
      <c r="B21" s="33" t="s">
        <v>227</v>
      </c>
      <c r="C21" s="12">
        <f>C20*(1+'Fane 15. Nøgletal'!C16)^2</f>
        <v>2491425.6478943997</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4scb456zY+826bv3lnyhZDRvxJXh27WLg875Ouv++wfke+cxxpQe6XIHhSDddYF22rUYj+o/yAX1EgihPFQxnw==" saltValue="PK5F0SWQlciqNsuoAQFOC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BEB0-B99B-452F-81B4-0F0A13A5A361}">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282</v>
      </c>
      <c r="C9" s="121"/>
      <c r="D9" s="122"/>
      <c r="E9" s="9">
        <v>25952218</v>
      </c>
      <c r="F9" s="14" t="s">
        <v>3</v>
      </c>
      <c r="G9" s="1"/>
    </row>
    <row r="10" spans="1:7" ht="15" customHeight="1" x14ac:dyDescent="0.25">
      <c r="A10" s="1"/>
      <c r="B10" s="120" t="s">
        <v>143</v>
      </c>
      <c r="C10" s="121"/>
      <c r="D10" s="122"/>
      <c r="E10" s="9">
        <v>23980021</v>
      </c>
      <c r="F10" s="14" t="s">
        <v>3</v>
      </c>
      <c r="G10" s="1"/>
    </row>
    <row r="11" spans="1:7" ht="15" customHeight="1" x14ac:dyDescent="0.25">
      <c r="A11" s="1"/>
      <c r="B11" s="120" t="s">
        <v>283</v>
      </c>
      <c r="C11" s="121"/>
      <c r="D11" s="122"/>
      <c r="E11" s="9">
        <v>2617837</v>
      </c>
      <c r="F11" s="14" t="s">
        <v>3</v>
      </c>
      <c r="G11" s="1"/>
    </row>
    <row r="12" spans="1:7" x14ac:dyDescent="0.25">
      <c r="A12" s="1"/>
      <c r="B12" s="33"/>
      <c r="C12" s="28"/>
      <c r="D12" s="28"/>
      <c r="E12" s="28"/>
      <c r="F12" s="19"/>
      <c r="G12" s="1"/>
    </row>
    <row r="13" spans="1:7" ht="42" customHeight="1" x14ac:dyDescent="0.25">
      <c r="A13" s="1"/>
      <c r="B13" s="114" t="s">
        <v>284</v>
      </c>
      <c r="C13" s="115"/>
      <c r="D13" s="115"/>
      <c r="E13" s="115"/>
      <c r="F13" s="116"/>
      <c r="G13" s="1"/>
    </row>
    <row r="14" spans="1:7" ht="15" customHeight="1" x14ac:dyDescent="0.25">
      <c r="A14" s="1"/>
      <c r="B14" s="1"/>
      <c r="C14" s="1"/>
      <c r="D14" s="1"/>
      <c r="E14" s="1"/>
      <c r="F14" s="1"/>
      <c r="G14" s="1"/>
    </row>
    <row r="15" spans="1:7" x14ac:dyDescent="0.25">
      <c r="A15" s="1"/>
      <c r="B15" s="75" t="s">
        <v>285</v>
      </c>
      <c r="C15" s="76"/>
      <c r="D15" s="76"/>
      <c r="E15" s="76"/>
      <c r="F15" s="77"/>
      <c r="G15" s="1"/>
    </row>
    <row r="16" spans="1:7" x14ac:dyDescent="0.25">
      <c r="A16" s="1"/>
      <c r="B16" s="78" t="s">
        <v>286</v>
      </c>
      <c r="C16" s="79"/>
      <c r="D16" s="80"/>
      <c r="E16" s="9">
        <f>IF(E11&lt;0,E11,0)</f>
        <v>0</v>
      </c>
      <c r="F16" s="14" t="s">
        <v>3</v>
      </c>
      <c r="G16" s="1"/>
    </row>
    <row r="17" spans="1:7" x14ac:dyDescent="0.25">
      <c r="A17" s="1"/>
      <c r="B17" s="78" t="s">
        <v>287</v>
      </c>
      <c r="C17" s="79"/>
      <c r="D17" s="80"/>
      <c r="E17" s="9">
        <f>IF(SUM(E10)&gt;0,SUM(E10),0)</f>
        <v>23980021</v>
      </c>
      <c r="F17" s="14" t="s">
        <v>3</v>
      </c>
      <c r="G17" s="1"/>
    </row>
    <row r="18" spans="1:7" x14ac:dyDescent="0.25">
      <c r="A18" s="1"/>
      <c r="B18" s="82" t="s">
        <v>288</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289</v>
      </c>
      <c r="C21" s="76"/>
      <c r="D21" s="76"/>
      <c r="E21" s="76"/>
      <c r="F21" s="77"/>
      <c r="G21" s="1"/>
    </row>
    <row r="22" spans="1:7" x14ac:dyDescent="0.25">
      <c r="A22" s="1"/>
      <c r="B22" s="78" t="s">
        <v>290</v>
      </c>
      <c r="C22" s="79"/>
      <c r="D22" s="80"/>
      <c r="E22" s="9">
        <v>90705037</v>
      </c>
      <c r="F22" s="14" t="s">
        <v>3</v>
      </c>
      <c r="G22" s="1"/>
    </row>
    <row r="23" spans="1:7" x14ac:dyDescent="0.25">
      <c r="A23" s="1"/>
      <c r="B23" s="78" t="s">
        <v>291</v>
      </c>
      <c r="C23" s="79"/>
      <c r="D23" s="80"/>
      <c r="E23" s="9">
        <v>77152845</v>
      </c>
      <c r="F23" s="14" t="s">
        <v>3</v>
      </c>
      <c r="G23" s="1"/>
    </row>
    <row r="24" spans="1:7" x14ac:dyDescent="0.25">
      <c r="A24" s="1"/>
      <c r="B24" s="78" t="s">
        <v>30</v>
      </c>
      <c r="C24" s="79"/>
      <c r="D24" s="80"/>
      <c r="E24" s="9">
        <v>0</v>
      </c>
      <c r="F24" s="14" t="s">
        <v>3</v>
      </c>
      <c r="G24" s="1"/>
    </row>
    <row r="25" spans="1:7" x14ac:dyDescent="0.25">
      <c r="A25" s="1"/>
      <c r="B25" s="82" t="s">
        <v>292</v>
      </c>
      <c r="C25" s="83"/>
      <c r="D25" s="84"/>
      <c r="E25" s="62">
        <f>E22-E23-E24</f>
        <v>13552192</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293</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0</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0</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mwJJbR3RHRHlBHxjop6g1AcEH3l/fMRV+cXb1vMbQJr0076cIKpXH9fHFHRA4Z4NtCnwSu8CZsSWznzQOWJF4g==" saltValue="z860RInG+VUzMCvWBnUzCQ=="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QjfmQ5ZzEduX7EY/WO6GPDna24kdJzETReFSIFIfS95gdWcNxw9CUxxBzLhkTs4hSwZE+qZ6vZxdMvGGyeihA==" saltValue="gZXY3xhwLpDI+5q+0/DiWA=="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0</v>
      </c>
      <c r="F14" s="8" t="s">
        <v>3</v>
      </c>
      <c r="G14" s="1"/>
    </row>
    <row r="15" spans="1:7" x14ac:dyDescent="0.25">
      <c r="A15" s="1"/>
      <c r="B15" s="114" t="s">
        <v>231</v>
      </c>
      <c r="C15" s="115"/>
      <c r="D15" s="116"/>
      <c r="E15" s="7">
        <v>0</v>
      </c>
      <c r="F15" s="8" t="s">
        <v>3</v>
      </c>
      <c r="G15" s="1"/>
    </row>
    <row r="16" spans="1:7" x14ac:dyDescent="0.25">
      <c r="A16" s="1"/>
      <c r="B16" s="135" t="s">
        <v>83</v>
      </c>
      <c r="C16" s="136"/>
      <c r="D16" s="137"/>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8UjhywBkFHmiZkfaGeFmmKrcnviplZyxNZlV8M8I9vO1kk6m1ZkHfMusp5zu83b2CquidfhHQajHnz1wtelqw==" saltValue="4poRWhV+DfjV91mEJmKGt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cOOdk/9Z94TQv3w/iXaWrTWooaNVRK+lJy76oiZNmOdJjkKVkcmecodVx0MURzTNTXyper5ma4WlqMYBohGAjg==" saltValue="DIvUpL467KnCcjH0tIgA3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275</v>
      </c>
      <c r="C11" s="21">
        <v>0</v>
      </c>
      <c r="D11" s="14" t="s">
        <v>3</v>
      </c>
      <c r="E11" s="9">
        <v>21324</v>
      </c>
      <c r="F11" s="14" t="s">
        <v>3</v>
      </c>
      <c r="G11" s="1"/>
    </row>
    <row r="12" spans="1:7" x14ac:dyDescent="0.25">
      <c r="A12" s="1"/>
      <c r="B12" s="24" t="s">
        <v>276</v>
      </c>
      <c r="C12" s="21">
        <v>0</v>
      </c>
      <c r="D12" s="14" t="s">
        <v>3</v>
      </c>
      <c r="E12" s="9">
        <v>624966</v>
      </c>
      <c r="F12" s="14" t="s">
        <v>3</v>
      </c>
      <c r="G12" s="1"/>
    </row>
    <row r="13" spans="1:7" x14ac:dyDescent="0.25">
      <c r="A13" s="1"/>
      <c r="B13" s="24" t="s">
        <v>277</v>
      </c>
      <c r="C13" s="21">
        <v>0</v>
      </c>
      <c r="D13" s="14" t="s">
        <v>3</v>
      </c>
      <c r="E13" s="9">
        <v>262005</v>
      </c>
      <c r="F13" s="14" t="s">
        <v>3</v>
      </c>
      <c r="G13" s="1"/>
    </row>
    <row r="14" spans="1:7" x14ac:dyDescent="0.25">
      <c r="A14" s="1"/>
      <c r="B14" s="24" t="s">
        <v>278</v>
      </c>
      <c r="C14" s="21">
        <v>0</v>
      </c>
      <c r="D14" s="14" t="s">
        <v>3</v>
      </c>
      <c r="E14" s="9">
        <v>399367</v>
      </c>
      <c r="F14" s="14" t="s">
        <v>3</v>
      </c>
      <c r="G14" s="1"/>
    </row>
    <row r="15" spans="1:7" x14ac:dyDescent="0.25">
      <c r="A15" s="1"/>
      <c r="B15" s="24" t="s">
        <v>279</v>
      </c>
      <c r="C15" s="21">
        <v>0</v>
      </c>
      <c r="D15" s="14" t="s">
        <v>3</v>
      </c>
      <c r="E15" s="9">
        <v>36151</v>
      </c>
      <c r="F15" s="14" t="s">
        <v>3</v>
      </c>
      <c r="G15" s="1"/>
    </row>
    <row r="16" spans="1:7" x14ac:dyDescent="0.25">
      <c r="A16" s="1"/>
      <c r="B16" s="24" t="s">
        <v>280</v>
      </c>
      <c r="C16" s="21">
        <v>0</v>
      </c>
      <c r="D16" s="14" t="s">
        <v>3</v>
      </c>
      <c r="E16" s="9">
        <v>35214</v>
      </c>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0</v>
      </c>
      <c r="D19" s="13" t="s">
        <v>3</v>
      </c>
      <c r="E19" s="12">
        <f>SUM(E10:E18)</f>
        <v>1379027</v>
      </c>
      <c r="F19" s="13" t="s">
        <v>3</v>
      </c>
      <c r="G19" s="1"/>
    </row>
    <row r="20" spans="1:7" x14ac:dyDescent="0.25">
      <c r="A20" s="1"/>
      <c r="B20" s="33" t="s">
        <v>233</v>
      </c>
      <c r="C20" s="12">
        <f>C19*(1+'Fane 15. Nøgletal'!C16)</f>
        <v>0</v>
      </c>
      <c r="D20" s="13" t="s">
        <v>3</v>
      </c>
      <c r="E20" s="12">
        <f>E19*(1+'Fane 15. Nøgletal'!C16)</f>
        <v>1490452.3816</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UVdK+ootFWRL4JUmGnczyPsm44dsM8J0ZZq8CXz5gG1ziVQfimsCEeAWP+v8HaSbZTChoetou78NpgOSqK3Wg==" saltValue="j1S2fpSg/4VjWWchQ+Fa5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t="s">
        <v>281</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L1aUHqUkWN9HLC0dFE3Y4mQcwetEe3IW27CfcVDwar4ztuleGmnvu8RZXnZjIfrDSf6CmlWSx+3D9Yhd+BkLg==" saltValue="8qPF41RFnmXgwRpKYd/cU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7" t="s">
        <v>111</v>
      </c>
      <c r="C13" s="118"/>
      <c r="D13" s="119"/>
      <c r="E13" s="12">
        <f>SUM(E10:E12)*(1+'Fane 15. Nøgletal'!C16)^2</f>
        <v>0</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7" t="s">
        <v>125</v>
      </c>
      <c r="C19" s="118"/>
      <c r="D19" s="119"/>
      <c r="E19" s="12">
        <f>SUM(E16:E18)*(1+'Fane 15. Nøgletal'!C16)^3</f>
        <v>0</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7" t="s">
        <v>146</v>
      </c>
      <c r="C25" s="118"/>
      <c r="D25" s="119"/>
      <c r="E25" s="12">
        <f>SUM(E22:E24)*(1+'Fane 15. Nøgletal'!C16)^4</f>
        <v>0</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7" t="s">
        <v>238</v>
      </c>
      <c r="C31" s="118"/>
      <c r="D31" s="11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KgCIACBXkWocQR8gsdAtBOr1QuBgjE6VX2zWa+kXBda4VoeVnrT2NNfSzprQV28wKwf6/NWL4SrQIxsy4mMLqA==" saltValue="n/WtY5CqhOw1EwZPl90YS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AJ/10HoOKyWwfFgL0BrzsMgm1Hc7COAF8CGuPyEJlwqvMUa3ACkFoj55Jr5X6yvwIcquvBp09oNcgSulN0w/3w==" saltValue="uRxwKm3igOpxdjA4C5Kjf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OGqJvb3bDXgBytUd6s21fwWwE5IEMiwzArjGYs5qyRaV3TRhgAsDMGXwM8MmS50Eb6iLMg1MEv81vKKRXQ9Pw==" saltValue="UsW2XmnLFp6ITC/7cQ/HL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87925561.973726705</v>
      </c>
      <c r="D9" s="8" t="s">
        <v>3</v>
      </c>
      <c r="E9" s="1"/>
    </row>
    <row r="10" spans="1:5" ht="17.25" customHeight="1" x14ac:dyDescent="0.25">
      <c r="A10" s="1"/>
      <c r="B10" s="88" t="s">
        <v>36</v>
      </c>
      <c r="C10" s="7">
        <f>'Fane 11.1. Varige tillæg'!C20</f>
        <v>0</v>
      </c>
      <c r="D10" s="8" t="s">
        <v>3</v>
      </c>
      <c r="E10" s="1"/>
    </row>
    <row r="11" spans="1:5" ht="17.25" customHeight="1" x14ac:dyDescent="0.25">
      <c r="A11" s="1"/>
      <c r="B11" s="88" t="s">
        <v>37</v>
      </c>
      <c r="C11" s="9">
        <f>'Fane 11.1. Varige tillæg'!E20</f>
        <v>1490452.3816</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7224813.9599103974</v>
      </c>
      <c r="D16" s="8" t="s">
        <v>3</v>
      </c>
      <c r="E16" s="1"/>
    </row>
    <row r="17" spans="1:5" ht="17.25" customHeight="1" x14ac:dyDescent="0.25">
      <c r="A17" s="1"/>
      <c r="B17" s="88" t="s">
        <v>10</v>
      </c>
      <c r="C17" s="41">
        <f>-SUM(C9,C10:C16)*'Fane 5. Individuelt eff. krav'!G9</f>
        <v>0</v>
      </c>
      <c r="D17" s="8" t="s">
        <v>3</v>
      </c>
      <c r="E17" s="1"/>
    </row>
    <row r="18" spans="1:5" ht="17.25" customHeight="1" x14ac:dyDescent="0.25">
      <c r="A18" s="1"/>
      <c r="B18" s="88" t="s">
        <v>23</v>
      </c>
      <c r="C18" s="41">
        <f>-'Fane 4.1. Gen. krav - drift'!G54</f>
        <v>-613674.113642846</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96027154.201594263</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2491425.6478943997</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72">
        <f>'Fane 11.2. Engangstillæg'!C14</f>
        <v>0</v>
      </c>
      <c r="D26" s="8" t="s">
        <v>3</v>
      </c>
      <c r="E26" s="1"/>
    </row>
    <row r="27" spans="1:5" ht="15" customHeight="1" x14ac:dyDescent="0.25">
      <c r="A27" s="1"/>
      <c r="B27" s="88" t="s">
        <v>70</v>
      </c>
      <c r="C27" s="72">
        <f>'Fane 11.2. Engangstillæg'!E14</f>
        <v>0</v>
      </c>
      <c r="D27" s="8" t="s">
        <v>3</v>
      </c>
      <c r="E27" s="1"/>
    </row>
    <row r="28" spans="1:5" ht="15" customHeight="1" x14ac:dyDescent="0.25">
      <c r="A28" s="1"/>
      <c r="B28" s="88" t="s">
        <v>161</v>
      </c>
      <c r="C28" s="72">
        <f>-C26*('Fane 15. Nøgletal'!C33+'Fane 5. Individuelt eff. krav'!G9)</f>
        <v>0</v>
      </c>
      <c r="D28" s="8" t="s">
        <v>3</v>
      </c>
      <c r="E28" s="1"/>
    </row>
    <row r="29" spans="1:5" ht="15" customHeight="1" x14ac:dyDescent="0.25">
      <c r="A29" s="1"/>
      <c r="B29" s="88"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ØR2022'!E26</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98518579.849488661</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NIhpupX9ShojDgYr4/JKwTuEi1O88ZCRDV/KROMYJxQ9RNxgIepPXmtwa+u3yrPOFjmN0e/CylbM+L3UlPVfIw==" saltValue="JyBn3+jRvfKi5DWGT/0kM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4Usz/RInLa2yPgs5mS6ZXdnfeiQ/7ddxJCRuqtRz4FVTQp73VC+HyVms1UbDIJObOEPALm9MqSIknBlFe+v3aA==" saltValue="KS+SlYr5aVWOcNsEr/MU3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96027154.201594263</v>
      </c>
      <c r="D9" s="8" t="s">
        <v>3</v>
      </c>
      <c r="E9" s="1"/>
    </row>
    <row r="10" spans="1:5" ht="15" customHeight="1" x14ac:dyDescent="0.25">
      <c r="A10" s="1"/>
      <c r="B10" s="26" t="s">
        <v>19</v>
      </c>
      <c r="C10" s="7">
        <f>SUM(C9:C9)*'Fane 15. Nøgletal'!C16</f>
        <v>7758994.0594888162</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-649993.80238468421</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103136154.45869839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2692732.8402442671</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ØR2022'!E33</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105828887.29894266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7wC4gEXYviIrJ2HwpNq4EA2q521vlrhvtyBdVz4skUv+v+8c19pcKKHAjy8++cY87Bxz/xezSNc8eMmkOfBdQ==" saltValue="E34/U0cpTEFbxQ4QnCbet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103136154.45869839</v>
      </c>
      <c r="D9" s="8" t="s">
        <v>3</v>
      </c>
      <c r="E9" s="1"/>
    </row>
    <row r="10" spans="1:5" ht="15" customHeight="1" x14ac:dyDescent="0.25">
      <c r="A10" s="1"/>
      <c r="B10" s="26" t="s">
        <v>19</v>
      </c>
      <c r="C10" s="7">
        <f>SUM(C9:C9)*'Fane 15. Nøgletal'!C16</f>
        <v>8333401.2802628297</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-688463.03558501927</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110781092.7033762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2910305.6537360037</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113691398.35711221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r2O85C4K7jFiUvMQRzHQDZSHwJFwoS18iQRKRmXl70Q3WWEmKW5wcviFmpmgUhsE+f6wyLYTUeskQ5vNYepyw==" saltValue="/EjxUm6O0EYsPmI8RoBu0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110781092.7033762</v>
      </c>
      <c r="D9" s="8" t="s">
        <v>3</v>
      </c>
      <c r="E9" s="1"/>
      <c r="F9" s="1"/>
    </row>
    <row r="10" spans="1:6" ht="15" customHeight="1" x14ac:dyDescent="0.25">
      <c r="A10" s="1"/>
      <c r="B10" s="26" t="s">
        <v>19</v>
      </c>
      <c r="C10" s="7">
        <f>SUM(C9:C9)*'Fane 15. Nøgletal'!C16</f>
        <v>8951112.2904327977</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-729209.03188308317</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119002995.96192592</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3145458.350557873</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122148454.3124838</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I8Sj9XlgV1wBH4jZJ60jvnmJtNDls9tI5SwwBlaiVxZ0zebqM+nzoPCiGYwnCMAIoRxHponh5elxbIUpL83v2A==" saltValue="VkX5bc8kXOH9kXqcQiNe7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88452996.458448604</v>
      </c>
      <c r="D9" s="8" t="s">
        <v>3</v>
      </c>
      <c r="E9" s="1"/>
    </row>
    <row r="10" spans="1:5" x14ac:dyDescent="0.25">
      <c r="A10" s="1"/>
      <c r="B10" s="88" t="s">
        <v>36</v>
      </c>
      <c r="C10" s="7">
        <v>0</v>
      </c>
      <c r="D10" s="8" t="s">
        <v>3</v>
      </c>
      <c r="E10" s="1"/>
    </row>
    <row r="11" spans="1:5" x14ac:dyDescent="0.25">
      <c r="A11" s="1"/>
      <c r="B11" s="88" t="s">
        <v>37</v>
      </c>
      <c r="C11" s="9">
        <v>628664.08680000005</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314275.32980296039</v>
      </c>
      <c r="D16" s="8" t="s">
        <v>3</v>
      </c>
      <c r="E16" s="1"/>
    </row>
    <row r="17" spans="1:5" x14ac:dyDescent="0.25">
      <c r="A17" s="1"/>
      <c r="B17" s="88" t="s">
        <v>10</v>
      </c>
      <c r="C17" s="41">
        <v>0</v>
      </c>
      <c r="D17" s="8" t="s">
        <v>3</v>
      </c>
      <c r="E17" s="1"/>
    </row>
    <row r="18" spans="1:5" x14ac:dyDescent="0.25">
      <c r="A18" s="1"/>
      <c r="B18" s="88" t="s">
        <v>23</v>
      </c>
      <c r="C18" s="41">
        <v>-579383.85931325052</v>
      </c>
      <c r="D18" s="8" t="s">
        <v>3</v>
      </c>
      <c r="E18" s="1"/>
    </row>
    <row r="19" spans="1:5" x14ac:dyDescent="0.25">
      <c r="A19" s="1"/>
      <c r="B19" s="88" t="s">
        <v>24</v>
      </c>
      <c r="C19" s="41">
        <v>-890990.04201161058</v>
      </c>
      <c r="D19" s="8" t="s">
        <v>3</v>
      </c>
      <c r="E19" s="47"/>
    </row>
    <row r="20" spans="1:5" x14ac:dyDescent="0.25">
      <c r="A20" s="1"/>
      <c r="B20" s="82" t="s">
        <v>21</v>
      </c>
      <c r="C20" s="10">
        <v>87925561.973726705</v>
      </c>
      <c r="D20" s="11" t="s">
        <v>3</v>
      </c>
      <c r="E20" s="1"/>
    </row>
    <row r="21" spans="1:5" x14ac:dyDescent="0.25">
      <c r="A21" s="1"/>
      <c r="B21" s="33" t="s">
        <v>12</v>
      </c>
      <c r="C21" s="28"/>
      <c r="D21" s="19"/>
      <c r="E21" s="1"/>
    </row>
    <row r="22" spans="1:5" x14ac:dyDescent="0.25">
      <c r="A22" s="1"/>
      <c r="B22" s="31" t="s">
        <v>12</v>
      </c>
      <c r="C22" s="10">
        <v>2544947.8858022401</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69">
        <v>0</v>
      </c>
      <c r="D26" s="8" t="s">
        <v>3</v>
      </c>
      <c r="E26" s="1"/>
    </row>
    <row r="27" spans="1:5" x14ac:dyDescent="0.25">
      <c r="A27" s="1"/>
      <c r="B27" s="88" t="s">
        <v>70</v>
      </c>
      <c r="C27" s="69">
        <v>0</v>
      </c>
      <c r="D27" s="8" t="s">
        <v>3</v>
      </c>
      <c r="E27" s="1"/>
    </row>
    <row r="28" spans="1:5" x14ac:dyDescent="0.25">
      <c r="A28" s="1"/>
      <c r="B28" s="88" t="s">
        <v>161</v>
      </c>
      <c r="C28" s="69">
        <v>0</v>
      </c>
      <c r="D28" s="8" t="s">
        <v>3</v>
      </c>
      <c r="E28" s="1"/>
    </row>
    <row r="29" spans="1:5" x14ac:dyDescent="0.25">
      <c r="A29" s="1"/>
      <c r="B29" s="88"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90470509.859528944</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row>
  </sheetData>
  <sheetProtection algorithmName="SHA-512" hashValue="2nzBTpd2j+MZLOE3mTH/KdQ0t5q2JLMxGyjY1F57iBVmCumgIeWufDCRfi2rFShFHapD8PijDqsalMCrQ2yLKA==" saltValue="JYwGuUSFtRyhLJ8P8747bw=="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7" t="s">
        <v>46</v>
      </c>
      <c r="C4" s="118"/>
      <c r="D4" s="118"/>
      <c r="E4" s="118"/>
      <c r="F4" s="118"/>
      <c r="G4" s="118"/>
      <c r="H4" s="119"/>
      <c r="I4" s="1"/>
    </row>
    <row r="5" spans="1:9" x14ac:dyDescent="0.25">
      <c r="A5" s="1"/>
      <c r="B5" s="120" t="s">
        <v>38</v>
      </c>
      <c r="C5" s="121"/>
      <c r="D5" s="121"/>
      <c r="E5" s="121"/>
      <c r="F5" s="122"/>
      <c r="G5" s="23">
        <v>30178986</v>
      </c>
      <c r="H5" s="14" t="s">
        <v>3</v>
      </c>
      <c r="I5" s="1"/>
    </row>
    <row r="6" spans="1:9" x14ac:dyDescent="0.25">
      <c r="A6" s="1"/>
      <c r="B6" s="114" t="s">
        <v>102</v>
      </c>
      <c r="C6" s="115"/>
      <c r="D6" s="115"/>
      <c r="E6" s="115"/>
      <c r="F6" s="116"/>
      <c r="G6" s="66">
        <v>0</v>
      </c>
      <c r="H6" s="14" t="s">
        <v>3</v>
      </c>
      <c r="I6" s="1"/>
    </row>
    <row r="7" spans="1:9" x14ac:dyDescent="0.25">
      <c r="A7" s="1"/>
      <c r="B7" s="120" t="s">
        <v>39</v>
      </c>
      <c r="C7" s="121"/>
      <c r="D7" s="121"/>
      <c r="E7" s="121"/>
      <c r="F7" s="122"/>
      <c r="G7" s="23">
        <f>SUM(G5:G6)*'Fane 15. Nøgletal'!C33</f>
        <v>603579.72</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30092975.889900003</v>
      </c>
      <c r="H11" s="14" t="s">
        <v>3</v>
      </c>
      <c r="I11" s="1"/>
    </row>
    <row r="12" spans="1:9" ht="15" customHeight="1" x14ac:dyDescent="0.25">
      <c r="A12" s="1"/>
      <c r="B12" s="120" t="s">
        <v>103</v>
      </c>
      <c r="C12" s="121"/>
      <c r="D12" s="121"/>
      <c r="E12" s="121"/>
      <c r="F12" s="122"/>
      <c r="G12" s="66">
        <v>0</v>
      </c>
      <c r="H12" s="14" t="s">
        <v>3</v>
      </c>
      <c r="I12" s="1"/>
    </row>
    <row r="13" spans="1:9" x14ac:dyDescent="0.25">
      <c r="A13" s="1"/>
      <c r="B13" s="114" t="s">
        <v>100</v>
      </c>
      <c r="C13" s="115"/>
      <c r="D13" s="115"/>
      <c r="E13" s="115"/>
      <c r="F13" s="116"/>
      <c r="G13" s="66">
        <v>0</v>
      </c>
      <c r="H13" s="14" t="s">
        <v>3</v>
      </c>
      <c r="I13" s="1"/>
    </row>
    <row r="14" spans="1:9" x14ac:dyDescent="0.25">
      <c r="A14" s="1"/>
      <c r="B14" s="123" t="s">
        <v>244</v>
      </c>
      <c r="C14" s="124"/>
      <c r="D14" s="124"/>
      <c r="E14" s="124"/>
      <c r="F14" s="125"/>
      <c r="G14" s="66">
        <v>0</v>
      </c>
      <c r="H14" s="14" t="s">
        <v>3</v>
      </c>
      <c r="I14" s="1"/>
    </row>
    <row r="15" spans="1:9" x14ac:dyDescent="0.25">
      <c r="A15" s="1"/>
      <c r="B15" s="120" t="s">
        <v>41</v>
      </c>
      <c r="C15" s="121"/>
      <c r="D15" s="121"/>
      <c r="E15" s="121"/>
      <c r="F15" s="122"/>
      <c r="G15" s="23">
        <f>SUM(G11:G14)*'Fane 15. Nøgletal'!C33</f>
        <v>601859.51779800002</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30007210.90861379</v>
      </c>
      <c r="H19" s="14" t="s">
        <v>3</v>
      </c>
      <c r="I19" s="1"/>
    </row>
    <row r="20" spans="1:9" x14ac:dyDescent="0.25">
      <c r="A20" s="1"/>
      <c r="B20" s="123" t="s">
        <v>245</v>
      </c>
      <c r="C20" s="124"/>
      <c r="D20" s="124"/>
      <c r="E20" s="124"/>
      <c r="F20" s="125"/>
      <c r="G20" s="66">
        <v>0</v>
      </c>
      <c r="H20" s="14" t="s">
        <v>3</v>
      </c>
      <c r="I20" s="1"/>
    </row>
    <row r="21" spans="1:9" x14ac:dyDescent="0.25">
      <c r="A21" s="1"/>
      <c r="B21" s="120" t="s">
        <v>43</v>
      </c>
      <c r="C21" s="121"/>
      <c r="D21" s="121"/>
      <c r="E21" s="121"/>
      <c r="F21" s="122"/>
      <c r="G21" s="23">
        <f>SUM(G19:G20)*'Fane 15. Nøgletal'!C33</f>
        <v>600144.21817227581</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29986385.904243216</v>
      </c>
      <c r="H25" s="14" t="s">
        <v>3</v>
      </c>
      <c r="I25" s="1"/>
    </row>
    <row r="26" spans="1:9" x14ac:dyDescent="0.25">
      <c r="A26" s="1"/>
      <c r="B26" s="123" t="s">
        <v>246</v>
      </c>
      <c r="C26" s="124"/>
      <c r="D26" s="124"/>
      <c r="E26" s="124"/>
      <c r="F26" s="125"/>
      <c r="G26" s="66">
        <v>0</v>
      </c>
      <c r="H26" s="14" t="s">
        <v>3</v>
      </c>
      <c r="I26" s="1"/>
    </row>
    <row r="27" spans="1:9" x14ac:dyDescent="0.25">
      <c r="A27" s="1"/>
      <c r="B27" s="120" t="s">
        <v>45</v>
      </c>
      <c r="C27" s="121"/>
      <c r="D27" s="121"/>
      <c r="E27" s="121"/>
      <c r="F27" s="122"/>
      <c r="G27" s="23">
        <f>(G25+G26)*'Fane 15. Nøgletal'!C33</f>
        <v>599727.71808486432</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29965575.352425672</v>
      </c>
      <c r="H31" s="14" t="s">
        <v>3</v>
      </c>
      <c r="I31" s="1"/>
    </row>
    <row r="32" spans="1:9" x14ac:dyDescent="0.25">
      <c r="A32" s="1"/>
      <c r="B32" s="120" t="s">
        <v>243</v>
      </c>
      <c r="C32" s="121"/>
      <c r="D32" s="121"/>
      <c r="E32" s="121"/>
      <c r="F32" s="122"/>
      <c r="G32" s="63">
        <v>0</v>
      </c>
      <c r="H32" s="14" t="s">
        <v>3</v>
      </c>
      <c r="I32" s="1"/>
    </row>
    <row r="33" spans="1:9" x14ac:dyDescent="0.25">
      <c r="A33" s="1"/>
      <c r="B33" s="120" t="s">
        <v>54</v>
      </c>
      <c r="C33" s="121"/>
      <c r="D33" s="121"/>
      <c r="E33" s="121"/>
      <c r="F33" s="122"/>
      <c r="G33" s="23">
        <f>(G31+G32)*'Fane 15. Nøgletal'!C33</f>
        <v>599311.50704851351</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29463172.516066905</v>
      </c>
      <c r="H37" s="14" t="s">
        <v>3</v>
      </c>
      <c r="I37" s="1"/>
    </row>
    <row r="38" spans="1:9" x14ac:dyDescent="0.25">
      <c r="A38" s="1"/>
      <c r="B38" s="120" t="s">
        <v>242</v>
      </c>
      <c r="C38" s="121"/>
      <c r="D38" s="121"/>
      <c r="E38" s="121"/>
      <c r="F38" s="122"/>
      <c r="G38" s="63">
        <v>0</v>
      </c>
      <c r="H38" s="14" t="s">
        <v>3</v>
      </c>
      <c r="I38" s="1"/>
    </row>
    <row r="39" spans="1:9" x14ac:dyDescent="0.25">
      <c r="A39" s="1"/>
      <c r="B39" s="120" t="s">
        <v>128</v>
      </c>
      <c r="C39" s="121"/>
      <c r="D39" s="121"/>
      <c r="E39" s="121"/>
      <c r="F39" s="122"/>
      <c r="G39" s="23">
        <f>(G37+G38)*'Fane 15. Nøgletal'!C33</f>
        <v>589263.45032133814</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28969192.965662528</v>
      </c>
      <c r="H43" s="14" t="s">
        <v>3</v>
      </c>
      <c r="I43" s="1"/>
    </row>
    <row r="44" spans="1:9" x14ac:dyDescent="0.25">
      <c r="A44" s="1"/>
      <c r="B44" s="126" t="s">
        <v>157</v>
      </c>
      <c r="C44" s="127"/>
      <c r="D44" s="127"/>
      <c r="E44" s="127"/>
      <c r="F44" s="128"/>
      <c r="G44" s="63">
        <v>0</v>
      </c>
      <c r="H44" s="14" t="s">
        <v>3</v>
      </c>
      <c r="I44" s="1"/>
    </row>
    <row r="45" spans="1:9" x14ac:dyDescent="0.25">
      <c r="A45" s="1"/>
      <c r="B45" s="120" t="s">
        <v>129</v>
      </c>
      <c r="C45" s="121"/>
      <c r="D45" s="121"/>
      <c r="E45" s="121"/>
      <c r="F45" s="122"/>
      <c r="G45" s="23">
        <f>SUM(G43:G44)*'Fane 15. Nøgletal'!C33</f>
        <v>579383.85931325052</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30683705.682142299</v>
      </c>
      <c r="H52" s="14" t="s">
        <v>3</v>
      </c>
      <c r="I52" s="1"/>
    </row>
    <row r="53" spans="1:9" x14ac:dyDescent="0.25">
      <c r="A53" s="1"/>
      <c r="B53" s="78" t="s">
        <v>194</v>
      </c>
      <c r="C53" s="79"/>
      <c r="D53" s="79"/>
      <c r="E53" s="79"/>
      <c r="F53" s="80"/>
      <c r="G53" s="63">
        <v>0</v>
      </c>
      <c r="H53" s="14" t="s">
        <v>3</v>
      </c>
      <c r="I53" s="1"/>
    </row>
    <row r="54" spans="1:9" x14ac:dyDescent="0.25">
      <c r="A54" s="1"/>
      <c r="B54" s="120" t="s">
        <v>210</v>
      </c>
      <c r="C54" s="121"/>
      <c r="D54" s="121"/>
      <c r="E54" s="121"/>
      <c r="F54" s="122"/>
      <c r="G54" s="23">
        <f>(G52)*'Fane 15. Nøgletal'!C33+(G53)*'Fane 15. Nøgletal'!C33</f>
        <v>613674.113642846</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32499690.119234208</v>
      </c>
      <c r="H58" s="14" t="s">
        <v>3</v>
      </c>
      <c r="I58" s="1"/>
    </row>
    <row r="59" spans="1:9" x14ac:dyDescent="0.25">
      <c r="A59" s="1"/>
      <c r="B59" s="78" t="s">
        <v>211</v>
      </c>
      <c r="C59" s="79"/>
      <c r="D59" s="79"/>
      <c r="E59" s="79"/>
      <c r="F59" s="80"/>
      <c r="G59" s="23">
        <f>(G58)*'Fane 15. Nøgletal'!C33</f>
        <v>649993.80238468421</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34423151.779250965</v>
      </c>
      <c r="H63" s="14" t="s">
        <v>3</v>
      </c>
      <c r="I63" s="1"/>
    </row>
    <row r="64" spans="1:9" x14ac:dyDescent="0.25">
      <c r="A64" s="1"/>
      <c r="B64" s="78" t="s">
        <v>214</v>
      </c>
      <c r="C64" s="79"/>
      <c r="D64" s="79"/>
      <c r="E64" s="79"/>
      <c r="F64" s="80"/>
      <c r="G64" s="23">
        <f>(G63)*'Fane 15. Nøgletal'!C33</f>
        <v>688463.03558501927</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36460451.594154157</v>
      </c>
      <c r="H68" s="14" t="s">
        <v>3</v>
      </c>
      <c r="I68" s="1"/>
    </row>
    <row r="69" spans="1:9" x14ac:dyDescent="0.25">
      <c r="A69" s="1"/>
      <c r="B69" s="78" t="s">
        <v>214</v>
      </c>
      <c r="C69" s="79"/>
      <c r="D69" s="79"/>
      <c r="E69" s="79"/>
      <c r="F69" s="80"/>
      <c r="G69" s="23">
        <f>(G68)*'Fane 15. Nøgletal'!C33</f>
        <v>729209.03188308317</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RLem1P7dl+a0HfSbUra/UZUWvsIVMfo6rspFs+V11e+cpo6zujKizegpkght1leb4Qtgo5NX8h8u4FpCM2W4QQ==" saltValue="RfQ10tY/+fw44tFDEx+BLg=="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23">
        <v>61155676</v>
      </c>
      <c r="H5" s="14" t="s">
        <v>3</v>
      </c>
      <c r="I5" s="1"/>
    </row>
    <row r="6" spans="1:9" x14ac:dyDescent="0.25">
      <c r="A6" s="1"/>
      <c r="B6" s="120" t="s">
        <v>51</v>
      </c>
      <c r="C6" s="121"/>
      <c r="D6" s="121"/>
      <c r="E6" s="121"/>
      <c r="F6" s="122"/>
      <c r="G6" s="23">
        <f>G5*'Fane 15. Nøgletal'!C21</f>
        <v>556516.65159999998</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61659644.636996999</v>
      </c>
      <c r="H10" s="14" t="s">
        <v>3</v>
      </c>
      <c r="I10" s="1"/>
    </row>
    <row r="11" spans="1:9" x14ac:dyDescent="0.25">
      <c r="A11" s="1"/>
      <c r="B11" s="120" t="s">
        <v>104</v>
      </c>
      <c r="C11" s="121"/>
      <c r="D11" s="121"/>
      <c r="E11" s="121"/>
      <c r="F11" s="122"/>
      <c r="G11" s="63">
        <v>-133927</v>
      </c>
      <c r="H11" s="14" t="s">
        <v>3</v>
      </c>
      <c r="I11" s="1"/>
    </row>
    <row r="12" spans="1:9" x14ac:dyDescent="0.25">
      <c r="A12" s="1"/>
      <c r="B12" s="123" t="s">
        <v>247</v>
      </c>
      <c r="C12" s="124"/>
      <c r="D12" s="124"/>
      <c r="E12" s="124"/>
      <c r="F12" s="125"/>
      <c r="G12" s="66">
        <v>0</v>
      </c>
      <c r="H12" s="14" t="s">
        <v>3</v>
      </c>
      <c r="I12" s="1"/>
    </row>
    <row r="13" spans="1:9" x14ac:dyDescent="0.25">
      <c r="A13" s="1"/>
      <c r="B13" s="120" t="s">
        <v>58</v>
      </c>
      <c r="C13" s="121"/>
      <c r="D13" s="121"/>
      <c r="E13" s="121"/>
      <c r="F13" s="122"/>
      <c r="G13" s="23">
        <f>SUM(G10:G12)*'Fane 15. Nøgletal'!C22</f>
        <v>1089005.202174847</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61494354.90243154</v>
      </c>
      <c r="H17" s="14" t="s">
        <v>3</v>
      </c>
      <c r="I17" s="1"/>
    </row>
    <row r="18" spans="1:9" x14ac:dyDescent="0.25">
      <c r="A18" s="1"/>
      <c r="B18" s="123" t="s">
        <v>248</v>
      </c>
      <c r="C18" s="124"/>
      <c r="D18" s="124"/>
      <c r="E18" s="124"/>
      <c r="F18" s="125"/>
      <c r="G18" s="63">
        <v>285307.32205582992</v>
      </c>
      <c r="H18" s="14" t="s">
        <v>3</v>
      </c>
      <c r="I18" s="1"/>
    </row>
    <row r="19" spans="1:9" x14ac:dyDescent="0.25">
      <c r="A19" s="1"/>
      <c r="B19" s="120" t="s">
        <v>61</v>
      </c>
      <c r="C19" s="121"/>
      <c r="D19" s="121"/>
      <c r="E19" s="121"/>
      <c r="F19" s="122"/>
      <c r="G19" s="23">
        <f>G17*'Fane 15. Nøgletal'!C22+G18*'Fane 15. Nøgletal'!C23</f>
        <v>1090932.2554749239</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61884297.949401997</v>
      </c>
      <c r="H23" s="14" t="s">
        <v>3</v>
      </c>
      <c r="I23" s="1"/>
    </row>
    <row r="24" spans="1:9" x14ac:dyDescent="0.25">
      <c r="A24" s="1"/>
      <c r="B24" s="123" t="s">
        <v>249</v>
      </c>
      <c r="C24" s="124"/>
      <c r="D24" s="124"/>
      <c r="E24" s="124"/>
      <c r="F24" s="125"/>
      <c r="G24" s="63">
        <v>7044.5643097500006</v>
      </c>
      <c r="H24" s="14" t="s">
        <v>3</v>
      </c>
      <c r="I24" s="1"/>
    </row>
    <row r="25" spans="1:9" x14ac:dyDescent="0.25">
      <c r="A25" s="1"/>
      <c r="B25" s="120" t="s">
        <v>64</v>
      </c>
      <c r="C25" s="121"/>
      <c r="D25" s="121"/>
      <c r="E25" s="121"/>
      <c r="F25" s="122"/>
      <c r="G25" s="23">
        <f>(G23+G24)*'Fane 15. Nøgletal'!C24</f>
        <v>1757714.1273894138</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61318260.86553289</v>
      </c>
      <c r="H29" s="14" t="s">
        <v>3</v>
      </c>
      <c r="I29" s="1"/>
    </row>
    <row r="30" spans="1:9" x14ac:dyDescent="0.25">
      <c r="A30" s="1"/>
      <c r="B30" s="120" t="s">
        <v>250</v>
      </c>
      <c r="C30" s="121"/>
      <c r="D30" s="121"/>
      <c r="E30" s="121"/>
      <c r="F30" s="122"/>
      <c r="G30" s="63">
        <v>1160172.46814616</v>
      </c>
      <c r="H30" s="14" t="s">
        <v>3</v>
      </c>
      <c r="I30" s="1"/>
    </row>
    <row r="31" spans="1:9" x14ac:dyDescent="0.25">
      <c r="A31" s="1"/>
      <c r="B31" s="120" t="s">
        <v>67</v>
      </c>
      <c r="C31" s="121"/>
      <c r="D31" s="121"/>
      <c r="E31" s="121"/>
      <c r="F31" s="122"/>
      <c r="G31" s="23">
        <f>G29*'Fane 15. Nøgletal'!C24+G30*'Fane 15. Nøgletal'!C25</f>
        <v>1773343.3514551534</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60905416.779165246</v>
      </c>
      <c r="H35" s="14" t="s">
        <v>3</v>
      </c>
      <c r="I35" s="1"/>
    </row>
    <row r="36" spans="1:9" x14ac:dyDescent="0.25">
      <c r="A36" s="1"/>
      <c r="B36" s="120" t="s">
        <v>251</v>
      </c>
      <c r="C36" s="121"/>
      <c r="D36" s="121"/>
      <c r="E36" s="121"/>
      <c r="F36" s="122"/>
      <c r="G36" s="63">
        <v>0</v>
      </c>
      <c r="H36" s="14" t="s">
        <v>3</v>
      </c>
      <c r="I36" s="1"/>
    </row>
    <row r="37" spans="1:9" x14ac:dyDescent="0.25">
      <c r="A37" s="1"/>
      <c r="B37" s="120" t="s">
        <v>131</v>
      </c>
      <c r="C37" s="121"/>
      <c r="D37" s="121"/>
      <c r="E37" s="121"/>
      <c r="F37" s="122"/>
      <c r="G37" s="23">
        <f>(G35+G36)*'Fane 15. Nøgletal'!C26</f>
        <v>901400.16833164566</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60202029.865649357</v>
      </c>
      <c r="H41" s="14" t="s">
        <v>3</v>
      </c>
      <c r="I41" s="1"/>
    </row>
    <row r="42" spans="1:9" x14ac:dyDescent="0.25">
      <c r="A42" s="1"/>
      <c r="B42" s="40" t="s">
        <v>156</v>
      </c>
      <c r="C42" s="79"/>
      <c r="D42" s="79"/>
      <c r="E42" s="79"/>
      <c r="F42" s="80"/>
      <c r="G42" s="23">
        <v>651044.52829008014</v>
      </c>
      <c r="H42" s="14" t="s">
        <v>3</v>
      </c>
      <c r="I42" s="1"/>
    </row>
    <row r="43" spans="1:9" x14ac:dyDescent="0.25">
      <c r="A43" s="1"/>
      <c r="B43" s="120" t="s">
        <v>132</v>
      </c>
      <c r="C43" s="121"/>
      <c r="D43" s="121"/>
      <c r="E43" s="121"/>
      <c r="F43" s="122"/>
      <c r="G43" s="23">
        <f>(G41)*'Fane 15. Nøgletal'!C26+G42*'Fane 15. Nøgletal'!C27</f>
        <v>890990.04201161058</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64807020.767563589</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1610880.93403328</v>
      </c>
      <c r="H54" s="14" t="s">
        <v>3</v>
      </c>
      <c r="I54" s="1"/>
    </row>
    <row r="55" spans="1:9" x14ac:dyDescent="0.25">
      <c r="A55" s="1"/>
      <c r="B55" s="120" t="s">
        <v>218</v>
      </c>
      <c r="C55" s="121"/>
      <c r="D55" s="121"/>
      <c r="E55" s="121"/>
      <c r="F55" s="122"/>
      <c r="G55" s="63">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71784468.1590859</v>
      </c>
      <c r="H59" s="14" t="s">
        <v>3</v>
      </c>
      <c r="I59" s="1"/>
    </row>
    <row r="60" spans="1:9" x14ac:dyDescent="0.25">
      <c r="A60" s="1"/>
      <c r="B60" s="120" t="s">
        <v>220</v>
      </c>
      <c r="C60" s="121"/>
      <c r="D60" s="121"/>
      <c r="E60" s="121"/>
      <c r="F60" s="122"/>
      <c r="G60" s="63">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77584653.186340034</v>
      </c>
      <c r="H64" s="14" t="s">
        <v>3</v>
      </c>
      <c r="I64" s="1"/>
    </row>
    <row r="65" spans="1:9" x14ac:dyDescent="0.25">
      <c r="A65" s="1"/>
      <c r="B65" s="120" t="s">
        <v>222</v>
      </c>
      <c r="C65" s="121"/>
      <c r="D65" s="121"/>
      <c r="E65" s="121"/>
      <c r="F65" s="122"/>
      <c r="G65" s="63">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83853493.163796306</v>
      </c>
      <c r="H69" s="14" t="s">
        <v>3</v>
      </c>
      <c r="I69" s="1"/>
    </row>
    <row r="70" spans="1:9" x14ac:dyDescent="0.25">
      <c r="A70" s="1"/>
      <c r="B70" s="120" t="s">
        <v>222</v>
      </c>
      <c r="C70" s="121"/>
      <c r="D70" s="121"/>
      <c r="E70" s="121"/>
      <c r="F70" s="122"/>
      <c r="G70" s="63">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5zn/GMGa1kyIM29K5ZX+7/0IXCDrlYTT1C2duQuQ4Rla37uaNrv+aUsFbaI69JeqfzXik6tV51Tsrk+/Kx0zQA==" saltValue="GEO0GRFHimqNI/XJbuiaVw=="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0</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bEF8+1lSN60btJoHeg7m13t1tGBRvY5U829ssfNrTFP7WhFiohTCqWsXjseRXOr36ZKOnP8XYtDA8NvFPjyp+Q==" saltValue="0MRR5extogYnG15kHPIc1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2023-09-11T14:36:03Z</dcterms:modified>
</cp:coreProperties>
</file>