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 Vand AS (V16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2" i="37" l="1"/>
  <c r="E12" i="37"/>
  <c r="C15" i="19"/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0" i="2" s="1"/>
  <c r="G11" i="11"/>
  <c r="E11" i="21" l="1"/>
  <c r="C11" i="21"/>
  <c r="E11" i="29"/>
  <c r="C11" i="29"/>
  <c r="C16" i="1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<sst xmlns="http://schemas.openxmlformats.org/spreadsheetml/2006/main" count="596" uniqueCount="246">
  <si>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</si>
  <si>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</si>
  <si>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</si>
  <si>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</si>
  <si>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</si>
  <si>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</si>
  <si>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</si>
  <si>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</si>
  <si>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</si>
  <si>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</si>
  <si>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</si>
  <si>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</si>
  <si>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</si>
  <si>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</si>
  <si>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</si>
  <si>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</si>
  <si>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</si>
  <si>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</si>
  <si>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</si>
  <si>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</si>
  <si>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</si>
  <si>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</si>
  <si>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</si>
  <si>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</si>
  <si>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</si>
  <si>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</si>
  <si>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</si>
  <si>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</si>
  <si>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</si>
  <si>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</si>
  <si>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</si>
  <si>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</si>
  <si>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</si>
  <si>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</si>
  <si>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</si>
  <si>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</si>
  <si>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</si>
  <si>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</si>
  <si>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</si>
  <si>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</si>
  <si>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</si>
  <si>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</si>
  <si>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</si>
  <si>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</si>
  <si>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</si>
  <si>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</si>
  <si>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</si>
  <si>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</si>
  <si>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</si>
  <si>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</si>
  <si>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</si>
  <si>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</si>
  <si>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</si>
  <si>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</si>
  <si>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</si>
  <si>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</si>
  <si>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</si>
  <si>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</si>
  <si>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</si>
  <si>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</si>
  <si>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</si>
  <si>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</si>
  <si>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</si>
  <si>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</si>
  <si>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</si>
  <si>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</si>
  <si>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</si>
  <si>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</si>
  <si>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</si>
  <si>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</si>
  <si>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</si>
  <si>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</si>
  <si>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</si>
  <si>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</si>
  <si>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</si>
  <si>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</si>
  <si>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</si>
  <si>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</si>
  <si>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</si>
  <si>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</si>
  <si>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</si>
  <si>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</si>
  <si>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</si>
  <si>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</si>
  <si>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</si>
  <si>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</si>
  <si>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</si>
  <si>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</si>
  <si>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</si>
  <si>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</si>
  <si>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</si>
  <si>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</si>
  <si>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</si>
  <si>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</si>
  <si>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</si>
  <si>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</si>
  <si>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</si>
  <si>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</si>
  <si>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</si>
  <si>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</si>
  <si>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</si>
  <si>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</si>
  <si>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</si>
  <si>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</si>
  <si>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</si>
  <si>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</si>
  <si>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</si>
  <si>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</si>
  <si>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</si>
  <si>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</si>
  <si>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</si>
  <si>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</si>
  <si>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</si>
  <si>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</si>
  <si>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</si>
  <si>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</si>
  <si>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</si>
  <si>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</si>
  <si>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</si>
  <si>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</si>
  <si>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</si>
  <si>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</si>
  <si>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</si>
  <si>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</si>
  <si>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</si>
  <si>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</si>
  <si>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</si>
  <si>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</si>
  <si>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</si>
  <si>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</si>
  <si>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</si>
  <si>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</si>
  <si>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</si>
  <si>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</si>
  <si>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</si>
  <si>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</si>
  <si>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</si>
  <si>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</si>
  <si>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</si>
  <si>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</si>
  <si>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</si>
  <si>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</si>
  <si>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</si>
  <si>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</si>
  <si>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</si>
  <si>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</si>
  <si>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</si>
  <si>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</si>
  <si>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</si>
  <si>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</si>
  <si>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</si>
  <si>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</si>
  <si>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</si>
  <si>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</si>
  <si>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</si>
  <si>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</si>
  <si>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</si>
  <si>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</si>
  <si>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</si>
  <si>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</si>
  <si>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</si>
  <si>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</si>
  <si>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</si>
  <si>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</si>
  <si>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</si>
  <si>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</si>
  <si>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</si>
  <si>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</si>
  <si>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</si>
  <si>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</si>
  <si>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</si>
  <si>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</si>
  <si>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</si>
  <si>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</si>
  <si>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</si>
  <si>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</si>
  <si>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</si>
  <si>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</si>
  <si>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</si>
  <si>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</si>
  <si>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</si>
  <si>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</si>
  <si>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</si>
  <si>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</si>
  <si>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</si>
  <si>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</si>
  <si>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</si>
  <si>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</si>
  <si>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</si>
  <si>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</si>
  <si>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</si>
  <si>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</si>
  <si>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</si>
  <si>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</si>
  <si>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</si>
  <si>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</si>
  <si>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</si>
  <si>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</si>
  <si>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</si>
  <si>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</si>
  <si>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</si>
  <si>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</si>
  <si>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</si>
  <si>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</si>
  <si>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</si>
  <si>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</si>
  <si>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</si>
  <si>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</si>
  <si>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</si>
  <si>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</si>
  <si>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</si>
  <si>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</si>
  <si>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</si>
  <si>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</si>
  <si>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</si>
  <si>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</si>
  <si>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</si>
  <si>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</si>
  <si>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</si>
  <si>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</si>
  <si>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</si>
  <si>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</si>
  <si>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</si>
  <si>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</si>
  <si>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</si>
  <si>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</si>
  <si>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</si>
  <si>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</si>
  <si>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</si>
  <si>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</si>
  <si>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</si>
  <si>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</si>
  <si>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</si>
  <si>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</si>
  <si>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</si>
  <si>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</si>
  <si>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</si>
  <si>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</si>
  <si>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Ingen engangstillæg</t>
  </si>
  <si>
    <t>Afregningsmålere, elektroniske ≤ Ø 110mm (Qn 10)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</si>
  <si>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</si>
  <si>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</si>
  <si>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</si>
  <si>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</si>
  <si>
    <t>Afgift for ledningsført vand (Frølunde Vandværk)</t>
  </si>
  <si>
    <t>Fusion med Frølunde Vandværk I/S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</si>
</sst>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192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56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22</v>
      </c>
      <c r="D14" s="54" t="s">
        <v>177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55</v>
      </c>
      <c r="D15" s="54" t="s">
        <v>133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57</v>
      </c>
      <c r="D16" s="54" t="s">
        <v>134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224</v>
      </c>
      <c r="D17" s="54" t="s">
        <v>66</v>
      </c>
      <c r="E17" s="55"/>
      <c r="F17" s="55"/>
      <c r="G17" s="56"/>
      <c r="H17" s="1"/>
      <c r="I17" s="1"/>
    </row>
    <row r="18" spans="1:9" x14ac:dyDescent="0.45">
      <c r="A18" s="1"/>
      <c r="B18" s="1"/>
      <c r="C18" s="34" t="s">
        <v>196</v>
      </c>
      <c r="D18" s="63" t="s">
        <v>162</v>
      </c>
      <c r="E18" s="64"/>
      <c r="F18" s="64"/>
      <c r="G18" s="65"/>
      <c r="H18" s="1"/>
      <c r="I18" s="1"/>
    </row>
    <row r="19" spans="1:9" x14ac:dyDescent="0.45">
      <c r="A19" s="1"/>
      <c r="B19" s="1"/>
      <c r="C19" s="34" t="s">
        <v>197</v>
      </c>
      <c r="D19" s="63" t="s">
        <v>163</v>
      </c>
      <c r="E19" s="64"/>
      <c r="F19" s="64"/>
      <c r="G19" s="65"/>
      <c r="H19" s="1"/>
      <c r="I19" s="1"/>
    </row>
    <row r="20" spans="1:9" x14ac:dyDescent="0.45">
      <c r="A20" s="1"/>
      <c r="B20" s="1"/>
      <c r="C20" s="34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198</v>
      </c>
      <c r="D21" s="72" t="s">
        <v>17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45">
      <c r="A29" s="1"/>
      <c r="B29" s="1"/>
      <c r="C29" s="6" t="s">
        <v>61</v>
      </c>
      <c r="D29" s="66" t="s">
        <v>11</v>
      </c>
      <c r="E29" s="67"/>
      <c r="F29" s="67"/>
      <c r="G29" s="68"/>
      <c r="H29" s="1"/>
      <c r="I29" s="1"/>
    </row>
    <row r="30" spans="1:9" x14ac:dyDescent="0.45">
      <c r="A30" s="1"/>
      <c r="B30" s="1"/>
      <c r="C30" s="6" t="s">
        <v>62</v>
      </c>
      <c r="D30" s="69" t="s">
        <v>184</v>
      </c>
      <c r="E30" s="70"/>
      <c r="F30" s="70"/>
      <c r="G30" s="7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WjedQLRDkzu/B92EMOOvOR93Y0whlG5O8Ff3G49xQ06OFX3r9bfDdhNBF49YjUnRXp+pZnEiNcO4VUtwCDNYA==" saltValue="pAiPyaO9SCAx9J/MxON7D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204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8" t="s">
        <v>69</v>
      </c>
      <c r="C8" s="99"/>
      <c r="D8" s="100"/>
      <c r="E8" s="1"/>
      <c r="F8" s="1"/>
    </row>
    <row r="9" spans="1:6" ht="15" customHeight="1" x14ac:dyDescent="0.45">
      <c r="A9" s="1"/>
      <c r="B9" s="39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234</v>
      </c>
      <c r="C10" s="9">
        <v>22459104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66147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127026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44335</v>
      </c>
      <c r="D13" s="14" t="s">
        <v>3</v>
      </c>
      <c r="E13" s="1"/>
      <c r="F13" s="1"/>
    </row>
    <row r="14" spans="1:6" x14ac:dyDescent="0.45">
      <c r="A14" s="1"/>
      <c r="B14" s="51" t="s">
        <v>244</v>
      </c>
      <c r="C14" s="9">
        <v>81540</v>
      </c>
      <c r="D14" s="14" t="s">
        <v>3</v>
      </c>
      <c r="E14" s="1"/>
      <c r="F14" s="1"/>
    </row>
    <row r="15" spans="1:6" x14ac:dyDescent="0.45">
      <c r="A15" s="1"/>
      <c r="B15" s="46" t="s">
        <v>71</v>
      </c>
      <c r="C15" s="12">
        <f>SUM(C10:C14)</f>
        <v>22778152</v>
      </c>
      <c r="D15" s="13" t="s">
        <v>3</v>
      </c>
      <c r="E15" s="1"/>
      <c r="F15" s="1"/>
    </row>
    <row r="16" spans="1:6" x14ac:dyDescent="0.45">
      <c r="A16" s="1"/>
      <c r="B16" s="46" t="s">
        <v>72</v>
      </c>
      <c r="C16" s="12">
        <f>C15*(1+'Fane 14. Nøgletal'!C12)^2</f>
        <v>23684451.161809683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RXDZrUzyJbE5j0KzXyBpOpID7TyKx55FEo8Hb0exSNzgwQeRXCC8homqk6dDE8t2AtrGyND7Tip7gSujP3GNLg==" saltValue="iWlDSaNXQWZ5L7f0+01CW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205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45">
      <c r="A7" s="1"/>
      <c r="B7" s="101" t="s">
        <v>50</v>
      </c>
      <c r="C7" s="102"/>
      <c r="D7" s="103"/>
      <c r="E7" s="9">
        <v>-2913110.6566666667</v>
      </c>
      <c r="F7" s="14" t="s">
        <v>3</v>
      </c>
      <c r="G7" s="1"/>
    </row>
    <row r="8" spans="1:7" ht="15" customHeight="1" x14ac:dyDescent="0.45">
      <c r="A8" s="1"/>
      <c r="B8" s="101" t="s">
        <v>51</v>
      </c>
      <c r="C8" s="102"/>
      <c r="D8" s="103"/>
      <c r="E8" s="9">
        <v>0</v>
      </c>
      <c r="F8" s="14" t="s">
        <v>3</v>
      </c>
      <c r="G8" s="1"/>
    </row>
    <row r="9" spans="1:7" ht="15" customHeight="1" x14ac:dyDescent="0.45">
      <c r="A9" s="1"/>
      <c r="B9" s="109" t="s">
        <v>186</v>
      </c>
      <c r="C9" s="110"/>
      <c r="D9" s="111"/>
      <c r="E9" s="10">
        <f>SUM(E7:E8)</f>
        <v>-2913110.6566666667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2"/>
      <c r="G10" s="1"/>
    </row>
    <row r="11" spans="1:7" ht="28.5" customHeight="1" x14ac:dyDescent="0.45">
      <c r="A11" s="1"/>
      <c r="B11" s="77" t="s">
        <v>188</v>
      </c>
      <c r="C11" s="78"/>
      <c r="D11" s="78"/>
      <c r="E11" s="78"/>
      <c r="F11" s="7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8" t="s">
        <v>165</v>
      </c>
      <c r="C14" s="99"/>
      <c r="D14" s="99"/>
      <c r="E14" s="99"/>
      <c r="F14" s="100"/>
      <c r="G14" s="1"/>
    </row>
    <row r="15" spans="1:7" x14ac:dyDescent="0.45">
      <c r="A15" s="1"/>
      <c r="B15" s="101" t="s">
        <v>166</v>
      </c>
      <c r="C15" s="102"/>
      <c r="D15" s="103"/>
      <c r="E15" s="9">
        <v>67283042.73841472</v>
      </c>
      <c r="F15" s="14" t="s">
        <v>3</v>
      </c>
      <c r="G15" s="1"/>
    </row>
    <row r="16" spans="1:7" x14ac:dyDescent="0.45">
      <c r="A16" s="1"/>
      <c r="B16" s="101" t="s">
        <v>167</v>
      </c>
      <c r="C16" s="102"/>
      <c r="D16" s="103"/>
      <c r="E16" s="9">
        <v>63655371</v>
      </c>
      <c r="F16" s="14" t="s">
        <v>3</v>
      </c>
      <c r="G16" s="1"/>
    </row>
    <row r="17" spans="1:7" x14ac:dyDescent="0.4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45">
      <c r="A18" s="1"/>
      <c r="B18" s="109" t="s">
        <v>187</v>
      </c>
      <c r="C18" s="110"/>
      <c r="D18" s="111"/>
      <c r="E18" s="10">
        <f>E15-(E16-E17)</f>
        <v>3627671.7384147197</v>
      </c>
      <c r="F18" s="17" t="s">
        <v>3</v>
      </c>
      <c r="G18" s="1"/>
    </row>
    <row r="19" spans="1:7" x14ac:dyDescent="0.45">
      <c r="A19" s="1"/>
      <c r="B19" s="46"/>
      <c r="C19" s="47"/>
      <c r="D19" s="47"/>
      <c r="E19" s="47"/>
      <c r="F19" s="22"/>
      <c r="G19" s="1"/>
    </row>
    <row r="20" spans="1:7" ht="30" customHeight="1" x14ac:dyDescent="0.45">
      <c r="A20" s="1"/>
      <c r="B20" s="77" t="s">
        <v>189</v>
      </c>
      <c r="C20" s="78"/>
      <c r="D20" s="78"/>
      <c r="E20" s="78"/>
      <c r="F20" s="7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8" t="s">
        <v>77</v>
      </c>
      <c r="C23" s="99"/>
      <c r="D23" s="99"/>
      <c r="E23" s="99"/>
      <c r="F23" s="100"/>
      <c r="G23" s="1"/>
    </row>
    <row r="24" spans="1:7" x14ac:dyDescent="0.45">
      <c r="A24" s="1"/>
      <c r="B24" s="101" t="s">
        <v>78</v>
      </c>
      <c r="C24" s="102"/>
      <c r="D24" s="103"/>
      <c r="E24" s="9">
        <v>64495187.466279276</v>
      </c>
      <c r="F24" s="14" t="s">
        <v>3</v>
      </c>
      <c r="G24" s="1"/>
    </row>
    <row r="25" spans="1:7" x14ac:dyDescent="0.45">
      <c r="A25" s="1"/>
      <c r="B25" s="101" t="s">
        <v>79</v>
      </c>
      <c r="C25" s="102"/>
      <c r="D25" s="103"/>
      <c r="E25" s="9">
        <v>68639625</v>
      </c>
      <c r="F25" s="14" t="s">
        <v>3</v>
      </c>
      <c r="G25" s="1"/>
    </row>
    <row r="26" spans="1:7" x14ac:dyDescent="0.4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45">
      <c r="A27" s="1"/>
      <c r="B27" s="109" t="s">
        <v>187</v>
      </c>
      <c r="C27" s="110"/>
      <c r="D27" s="111"/>
      <c r="E27" s="10">
        <f>E24-(E25-E26)</f>
        <v>-4144437.5337207243</v>
      </c>
      <c r="F27" s="17" t="s">
        <v>3</v>
      </c>
      <c r="G27" s="1"/>
    </row>
    <row r="28" spans="1:7" x14ac:dyDescent="0.45">
      <c r="A28" s="1"/>
      <c r="B28" s="46"/>
      <c r="C28" s="47"/>
      <c r="D28" s="47"/>
      <c r="E28" s="47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8" t="s">
        <v>241</v>
      </c>
      <c r="C31" s="99"/>
      <c r="D31" s="99"/>
      <c r="E31" s="99"/>
      <c r="F31" s="100"/>
      <c r="G31" s="1"/>
    </row>
    <row r="32" spans="1:7" x14ac:dyDescent="0.45">
      <c r="A32" s="1"/>
      <c r="B32" s="109" t="s">
        <v>242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8"/>
      <c r="C33" s="99"/>
      <c r="D33" s="99"/>
      <c r="E33" s="99"/>
      <c r="F33" s="100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8" t="s">
        <v>180</v>
      </c>
      <c r="C36" s="99"/>
      <c r="D36" s="99"/>
      <c r="E36" s="99"/>
      <c r="F36" s="100"/>
      <c r="G36" s="1"/>
    </row>
    <row r="37" spans="1:7" x14ac:dyDescent="0.4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-3429876.4519726713</v>
      </c>
      <c r="F37" s="14" t="s">
        <v>3</v>
      </c>
      <c r="G37" s="1"/>
    </row>
    <row r="38" spans="1:7" x14ac:dyDescent="0.4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45">
      <c r="A39" s="1"/>
      <c r="B39" s="109" t="s">
        <v>227</v>
      </c>
      <c r="C39" s="110"/>
      <c r="D39" s="111"/>
      <c r="E39" s="10">
        <f>E37/E38</f>
        <v>-1714938.2259863357</v>
      </c>
      <c r="F39" s="17" t="s">
        <v>3</v>
      </c>
      <c r="G39" s="1"/>
    </row>
    <row r="40" spans="1:7" x14ac:dyDescent="0.45">
      <c r="A40" s="1"/>
      <c r="B40" s="98"/>
      <c r="C40" s="99"/>
      <c r="D40" s="99"/>
      <c r="E40" s="99"/>
      <c r="F40" s="100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OcC50rYYKSe2KP9HVErE9WmktgNRbURl2NIOUeiozbaHAJt/sKyrSUNmjLsmRGCjLqXHd+ElwClgiDI7wA062g==" saltValue="Kpa/+/V5fGDgmih/5gb3a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228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45">
      <c r="A9" s="1"/>
      <c r="B9" s="89" t="s">
        <v>164</v>
      </c>
      <c r="C9" s="90"/>
      <c r="D9" s="91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OEf4At3DXpNJrqjCPPZZVFgg43aHYW/YX2Tt/BeCl1WclLmlYlIh3CqGDwALd+L2k525iL22drENn1tlXStgKA==" saltValue="ojqk14PRlCpWIrOjE1EkL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.75" x14ac:dyDescent="0.45">
      <c r="A10" s="1"/>
      <c r="B10" s="52" t="s">
        <v>239</v>
      </c>
      <c r="C10" s="53">
        <v>10</v>
      </c>
      <c r="D10" s="9">
        <v>27897546</v>
      </c>
      <c r="E10" s="9">
        <f>IFERROR(D10/C10,0)</f>
        <v>2789754.6</v>
      </c>
      <c r="F10" s="9">
        <v>0</v>
      </c>
      <c r="G10" s="9">
        <v>139398</v>
      </c>
      <c r="H10" s="14" t="s">
        <v>3</v>
      </c>
      <c r="I10" s="1"/>
    </row>
    <row r="11" spans="1:9" x14ac:dyDescent="0.45">
      <c r="A11" s="1"/>
      <c r="B11" s="98" t="s">
        <v>231</v>
      </c>
      <c r="C11" s="99"/>
      <c r="D11" s="100"/>
      <c r="E11" s="12">
        <f>SUM(E10:E10)</f>
        <v>2789754.6</v>
      </c>
      <c r="F11" s="12">
        <f>SUM(F10:F10)</f>
        <v>0</v>
      </c>
      <c r="G11" s="12">
        <f>SUM(G10:G10)</f>
        <v>139398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sW5DrAN6yXpO0x63feJ9PlC+l9ks/7KuYGAU0vkpnqXi2qfc8a806WgbxrCva6kJcZiLz4/ZWTBkcXPs5n64A==" saltValue="oTkoSY0VOjZ6vfoN9vhh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2929152.6</v>
      </c>
      <c r="F10" s="14" t="s">
        <v>3</v>
      </c>
      <c r="G10" s="1"/>
    </row>
    <row r="11" spans="1:7" x14ac:dyDescent="0.45">
      <c r="A11" s="1"/>
      <c r="B11" s="27" t="s">
        <v>245</v>
      </c>
      <c r="C11" s="24">
        <v>511219.88525742706</v>
      </c>
      <c r="D11" s="14" t="s">
        <v>3</v>
      </c>
      <c r="E11" s="9">
        <v>32664.455542655436</v>
      </c>
      <c r="F11" s="14" t="s">
        <v>3</v>
      </c>
      <c r="G11" s="1"/>
    </row>
    <row r="12" spans="1:7" x14ac:dyDescent="0.45">
      <c r="A12" s="1"/>
      <c r="B12" s="46" t="s">
        <v>63</v>
      </c>
      <c r="C12" s="12">
        <f>SUM(C10:C11)</f>
        <v>511219.88525742706</v>
      </c>
      <c r="D12" s="13" t="s">
        <v>3</v>
      </c>
      <c r="E12" s="12">
        <f>SUM(E10:E11)</f>
        <v>2961817.0555426558</v>
      </c>
      <c r="F12" s="13" t="s">
        <v>3</v>
      </c>
      <c r="G12" s="1"/>
    </row>
    <row r="13" spans="1:7" x14ac:dyDescent="0.45">
      <c r="A13" s="1"/>
      <c r="B13" s="46" t="s">
        <v>74</v>
      </c>
      <c r="C13" s="12">
        <f>C12*(1+'Fane 14. Nøgletal'!C12)</f>
        <v>521290.91699699842</v>
      </c>
      <c r="D13" s="13" t="s">
        <v>3</v>
      </c>
      <c r="E13" s="12">
        <f>E12*(1+'Fane 14. Nøgletal'!C12)</f>
        <v>3020164.8515368463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</sheetData>
  <sheetProtection algorithmName="SHA-512" hashValue="4YUzDQ1Q+DnH8JibzsGsxeYz/wezaQW9giwstdQKvgFlFZVQ4SILt46csvKfpMSxIaxa+tNYJ4QIzRxzYGMKrw==" saltValue="DX/mqJG38EKgX3bG0zFP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8" t="s">
        <v>168</v>
      </c>
      <c r="C8" s="99"/>
      <c r="D8" s="99"/>
      <c r="E8" s="99"/>
      <c r="F8" s="100"/>
      <c r="G8" s="1"/>
    </row>
    <row r="9" spans="1:7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8" t="s">
        <v>169</v>
      </c>
      <c r="C16" s="99"/>
      <c r="D16" s="99"/>
      <c r="E16" s="99"/>
      <c r="F16" s="100"/>
      <c r="G16" s="1"/>
    </row>
    <row r="17" spans="1:7" x14ac:dyDescent="0.4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4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8" t="s">
        <v>170</v>
      </c>
      <c r="C24" s="99"/>
      <c r="D24" s="99"/>
      <c r="E24" s="99"/>
      <c r="F24" s="100"/>
      <c r="G24" s="1"/>
    </row>
    <row r="25" spans="1:7" x14ac:dyDescent="0.4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4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8" t="s">
        <v>171</v>
      </c>
      <c r="C32" s="99"/>
      <c r="D32" s="99"/>
      <c r="E32" s="99"/>
      <c r="F32" s="100"/>
      <c r="G32" s="1"/>
    </row>
    <row r="33" spans="1:7" x14ac:dyDescent="0.4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4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23LDKCnZ6tmyKGEhUOEtJh21xy2k2juhfezbj1/hUQmAfTKB2YIRSBu5/g7yXo8XYKNsywbC2SGriD8QSRNsOw==" saltValue="nrMs4D5MzoqriDLgg/lF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208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45">
      <c r="A9" s="1"/>
      <c r="B9" s="40" t="s">
        <v>32</v>
      </c>
      <c r="C9" s="89" t="s">
        <v>16</v>
      </c>
      <c r="D9" s="91"/>
      <c r="E9" s="89" t="s">
        <v>47</v>
      </c>
      <c r="F9" s="91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ydhx61A1mXquuZT7eNmIRtoqVvG1V4JDI6ony8+kMdGYai2lu3vyJIcilJ/vhuTC2SqkW243kycGQ5w9eOFCtw==" saltValue="ZtNOXTZ3oJp76xgKpsUsv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209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4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8" t="s">
        <v>157</v>
      </c>
      <c r="C15" s="99"/>
      <c r="D15" s="99"/>
      <c r="E15" s="99"/>
      <c r="F15" s="100"/>
      <c r="G15" s="1"/>
    </row>
    <row r="16" spans="1:7" x14ac:dyDescent="0.4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8" t="s">
        <v>155</v>
      </c>
      <c r="C22" s="99"/>
      <c r="D22" s="99"/>
      <c r="E22" s="99"/>
      <c r="F22" s="100"/>
      <c r="G22" s="1"/>
    </row>
    <row r="23" spans="1:7" x14ac:dyDescent="0.4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8" t="s">
        <v>158</v>
      </c>
      <c r="C29" s="99"/>
      <c r="D29" s="99"/>
      <c r="E29" s="99"/>
      <c r="F29" s="100"/>
      <c r="G29" s="1"/>
    </row>
    <row r="30" spans="1:7" x14ac:dyDescent="0.4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/I0KRqfGwClBeO+JqjJVU3KqtiK/HUbEdJNPJiqaUI6uZ4G+6dgxhxOTPkodxdLI/ainfF2eGDPdsuugiWyIRA==" saltValue="/Zqy5bgaqBzt1+zmNgJfg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45">
      <c r="A9" s="1"/>
      <c r="B9" s="101" t="s">
        <v>12</v>
      </c>
      <c r="C9" s="102"/>
      <c r="D9" s="102"/>
      <c r="E9" s="102"/>
      <c r="F9" s="103"/>
      <c r="G9" s="9">
        <v>25051177</v>
      </c>
      <c r="H9" s="14" t="s">
        <v>3</v>
      </c>
      <c r="I9" s="1"/>
    </row>
    <row r="10" spans="1:9" x14ac:dyDescent="0.4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45">
      <c r="A11" s="1"/>
      <c r="B11" s="101" t="s">
        <v>80</v>
      </c>
      <c r="C11" s="102"/>
      <c r="D11" s="102"/>
      <c r="E11" s="102"/>
      <c r="F11" s="103"/>
      <c r="G11" s="9">
        <v>-25051176.880952381</v>
      </c>
      <c r="H11" s="14" t="s">
        <v>3</v>
      </c>
      <c r="I11" s="1"/>
    </row>
    <row r="12" spans="1:9" x14ac:dyDescent="0.45">
      <c r="A12" s="1"/>
      <c r="B12" s="115" t="s">
        <v>15</v>
      </c>
      <c r="C12" s="116"/>
      <c r="D12" s="116"/>
      <c r="E12" s="116"/>
      <c r="F12" s="117"/>
      <c r="G12" s="19">
        <f>(G9+G10)+G11</f>
        <v>0.1190476194024086</v>
      </c>
      <c r="H12" s="18" t="s">
        <v>3</v>
      </c>
      <c r="I12" s="1"/>
    </row>
    <row r="13" spans="1:9" x14ac:dyDescent="0.4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4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RyBsVs5V4toOHs19+C7QqwzCtTRN6Zy6kxIXLNDcKH3nN5syIrU9K6QDKLtGEFz05CYimBEpmug5miVeGM0cQ==" saltValue="N2BLnldCvfLapr5b8claG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54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8"/>
      <c r="C13" s="100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6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46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6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46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jrod9BzFnW+PQe/Bdfoq9ZmdSyQVJTxspLiZx21/J0Td5qgAgnW0gWZzVt6+yALZZoJrddkvf46dro88r0r6lQ==" saltValue="EKjEAeFCUVajg2rGmSHEA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65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x14ac:dyDescent="0.45">
      <c r="A9" s="1"/>
      <c r="B9" s="45" t="s">
        <v>34</v>
      </c>
      <c r="C9" s="7">
        <f>'Fane 3. Omkostninger i ØR2019'!E22</f>
        <v>40581800.545566618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tillæg'!C13</f>
        <v>521290.91699699842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tillæg'!E13</f>
        <v>3020164.8515368463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755599.10786019254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-312414.50263938867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-431608.13670561113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-268657.31528158754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43866175.467334069</v>
      </c>
      <c r="D20" s="11" t="s">
        <v>3</v>
      </c>
      <c r="E20" s="1"/>
    </row>
    <row r="21" spans="1:5" ht="15" customHeight="1" x14ac:dyDescent="0.45">
      <c r="A21" s="1"/>
      <c r="B21" s="46" t="s">
        <v>17</v>
      </c>
      <c r="C21" s="47"/>
      <c r="D21" s="22"/>
      <c r="E21" s="1"/>
    </row>
    <row r="22" spans="1:5" ht="15" customHeight="1" x14ac:dyDescent="0.45">
      <c r="A22" s="1"/>
      <c r="B22" s="40" t="s">
        <v>17</v>
      </c>
      <c r="C22" s="10">
        <f>'Fane 6. Ikke-påvirkelige omk.'!C16</f>
        <v>23684451.161809683</v>
      </c>
      <c r="D22" s="11" t="s">
        <v>3</v>
      </c>
      <c r="E22" s="1"/>
    </row>
    <row r="23" spans="1:5" ht="15" customHeight="1" x14ac:dyDescent="0.45">
      <c r="A23" s="1"/>
      <c r="B23" s="46" t="s">
        <v>142</v>
      </c>
      <c r="C23" s="47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46" t="s">
        <v>11</v>
      </c>
      <c r="C27" s="47"/>
      <c r="D27" s="22"/>
      <c r="E27" s="1"/>
    </row>
    <row r="28" spans="1:5" ht="15" customHeight="1" x14ac:dyDescent="0.4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45">
      <c r="A29" s="1"/>
      <c r="B29" s="46" t="s">
        <v>53</v>
      </c>
      <c r="C29" s="47"/>
      <c r="D29" s="22"/>
      <c r="E29" s="1"/>
    </row>
    <row r="30" spans="1:5" x14ac:dyDescent="0.45">
      <c r="A30" s="1"/>
      <c r="B30" s="40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46" t="s">
        <v>225</v>
      </c>
      <c r="C31" s="47"/>
      <c r="D31" s="22"/>
      <c r="E31" s="1"/>
    </row>
    <row r="32" spans="1:5" x14ac:dyDescent="0.4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46" t="s">
        <v>35</v>
      </c>
      <c r="C33" s="33">
        <f>SUM(C20,C22,C26,C28,C30,C32)</f>
        <v>67550626.629143745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VgrUbSx6XicqiRteDw034gNt+EiO1ejJwcrT6QekHgtaO3j1fH/Mv/5XnCPVBhSqWc/0vVhtQooMLY928gNLQ==" saltValue="eAyTyxmPnQK0jNN8+MgfE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29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ht="15" customHeight="1" x14ac:dyDescent="0.45">
      <c r="A9" s="1"/>
      <c r="B9" s="45" t="s">
        <v>36</v>
      </c>
      <c r="C9" s="7">
        <f>'Fane 2.1. Økonomisk ramme 2020'!C20</f>
        <v>43866175.467334069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864163.65670648112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-311380.63836383389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-431308.60065873741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-684544.3656122511</v>
      </c>
      <c r="D15" s="8" t="s">
        <v>3</v>
      </c>
      <c r="E15" s="1"/>
    </row>
    <row r="16" spans="1:5" ht="15" customHeight="1" x14ac:dyDescent="0.45">
      <c r="A16" s="1"/>
      <c r="B16" s="39" t="s">
        <v>28</v>
      </c>
      <c r="C16" s="10">
        <f>SUM(C9:C15)</f>
        <v>43303105.51940573</v>
      </c>
      <c r="D16" s="11" t="s">
        <v>3</v>
      </c>
      <c r="E16" s="1"/>
    </row>
    <row r="17" spans="1:5" x14ac:dyDescent="0.45">
      <c r="A17" s="1"/>
      <c r="B17" s="46" t="s">
        <v>17</v>
      </c>
      <c r="C17" s="47"/>
      <c r="D17" s="22"/>
      <c r="E17" s="1"/>
    </row>
    <row r="18" spans="1:5" ht="15" customHeight="1" x14ac:dyDescent="0.45">
      <c r="A18" s="1"/>
      <c r="B18" s="40" t="s">
        <v>17</v>
      </c>
      <c r="C18" s="10">
        <f>'Fane 6. Ikke-påvirkelige omk.'!C16*(1+'Fane 14. Nøgletal'!C12)</f>
        <v>24151034.849697337</v>
      </c>
      <c r="D18" s="11" t="s">
        <v>3</v>
      </c>
      <c r="E18" s="1"/>
    </row>
    <row r="19" spans="1:5" ht="15" customHeight="1" x14ac:dyDescent="0.45">
      <c r="A19" s="1"/>
      <c r="B19" s="46" t="s">
        <v>142</v>
      </c>
      <c r="C19" s="47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6" t="s">
        <v>160</v>
      </c>
      <c r="C23" s="47"/>
      <c r="D23" s="22"/>
      <c r="E23" s="1"/>
    </row>
    <row r="24" spans="1:5" ht="15" customHeight="1" x14ac:dyDescent="0.45">
      <c r="A24" s="1"/>
      <c r="B24" s="40" t="s">
        <v>195</v>
      </c>
      <c r="C24" s="10">
        <f>'Fane 7. Kontrol af ØR2018'!E39</f>
        <v>-1714938.2259863357</v>
      </c>
      <c r="D24" s="11" t="s">
        <v>3</v>
      </c>
      <c r="E24" s="1"/>
    </row>
    <row r="25" spans="1:5" x14ac:dyDescent="0.45">
      <c r="A25" s="1"/>
      <c r="B25" s="46" t="s">
        <v>44</v>
      </c>
      <c r="C25" s="12">
        <f>SUM(C16,C18,C22,C24)</f>
        <v>65739202.143116735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DtSVxm4m/RJR4eGy7GF+g1W+QxQAVB/0L5S642W+v3PxZ7Xswsy713At0hBohZTzs1tQpL16ZJuIy3+WM8/gQ==" saltValue="Sh9N463Pd5ta49MjR0EJ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193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29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37</v>
      </c>
      <c r="C8" s="7">
        <f>'Fane 2.2. Økonomisk ramme 2021'!C16</f>
        <v>43303105.51940573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853071.17873229284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-307383.73008629371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-431009.27248988027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-678205.84074975189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42739577.854812086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Nøgletal'!C12)^2</f>
        <v>24626810.236236371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160</v>
      </c>
      <c r="C22" s="47"/>
      <c r="D22" s="22"/>
      <c r="E22" s="1"/>
    </row>
    <row r="23" spans="1:5" ht="15" customHeight="1" x14ac:dyDescent="0.45">
      <c r="A23" s="1"/>
      <c r="B23" s="40" t="s">
        <v>195</v>
      </c>
      <c r="C23" s="10">
        <f>'Fane 2.2. Økonomisk ramme 2021'!C24</f>
        <v>-1714938.2259863357</v>
      </c>
      <c r="D23" s="11" t="s">
        <v>3</v>
      </c>
      <c r="E23" s="1"/>
    </row>
    <row r="24" spans="1:5" x14ac:dyDescent="0.45">
      <c r="A24" s="1"/>
      <c r="B24" s="46" t="s">
        <v>45</v>
      </c>
      <c r="C24" s="12">
        <f>SUM(C15,C17,C21,C23)</f>
        <v>65651449.86506211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gRer3XmTEun0lMcfM6pLsmAeAd4uCdPVTmv15WyeWusqbjZEuV4ik3NFurkO6MFJHjjf+W2V7tsu9DFK9tTD+Q==" saltValue="Qwj5mtH2UHD5JJBDulvl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194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29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243</v>
      </c>
      <c r="C8" s="7">
        <f>'Fane 2.3. Økonomisk ramme 2022'!C15</f>
        <v>42739577.854812086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841969.68373979803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-303383.57274256722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-430710.1520547723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-671926.00733144651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42175527.806423098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Nøgletal'!C12)^3</f>
        <v>25111958.397890229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154</v>
      </c>
      <c r="C22" s="12">
        <f>SUM(C15,C17,C21)</f>
        <v>67287486.204313323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gOJsgAlLmPjx/t//VFJSlEHb24QwTse7CkquNEWgbx8LAg3/jJywIixs4MCFDjax0VFnRUnVVeRiRTGBWYkuyg==" saltValue="L+RTvm/peJJX6GmMqGdnC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221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84</v>
      </c>
      <c r="C8" s="47"/>
      <c r="D8" s="47"/>
      <c r="E8" s="47"/>
      <c r="F8" s="22"/>
      <c r="G8" s="1"/>
    </row>
    <row r="9" spans="1:7" x14ac:dyDescent="0.45">
      <c r="A9" s="1"/>
      <c r="B9" s="93" t="s">
        <v>81</v>
      </c>
      <c r="C9" s="94"/>
      <c r="D9" s="95"/>
      <c r="E9" s="7">
        <v>42268681.616124839</v>
      </c>
      <c r="F9" s="8" t="s">
        <v>3</v>
      </c>
      <c r="G9" s="1"/>
    </row>
    <row r="10" spans="1:7" x14ac:dyDescent="0.45">
      <c r="A10" s="1"/>
      <c r="B10" s="93" t="s">
        <v>82</v>
      </c>
      <c r="C10" s="94"/>
      <c r="D10" s="95"/>
      <c r="E10" s="7">
        <v>-1075634.1723325849</v>
      </c>
      <c r="F10" s="8" t="s">
        <v>3</v>
      </c>
      <c r="G10" s="1"/>
    </row>
    <row r="11" spans="1:7" x14ac:dyDescent="0.45">
      <c r="A11" s="1"/>
      <c r="B11" s="93" t="s">
        <v>83</v>
      </c>
      <c r="C11" s="94"/>
      <c r="D11" s="95"/>
      <c r="E11" s="7">
        <v>-429532.37646804325</v>
      </c>
      <c r="F11" s="8" t="s">
        <v>3</v>
      </c>
      <c r="G11" s="1"/>
    </row>
    <row r="12" spans="1:7" x14ac:dyDescent="0.45">
      <c r="A12" s="1"/>
      <c r="B12" s="80" t="s">
        <v>67</v>
      </c>
      <c r="C12" s="81"/>
      <c r="D12" s="82"/>
      <c r="E12" s="7">
        <v>0</v>
      </c>
      <c r="F12" s="8" t="s">
        <v>3</v>
      </c>
      <c r="G12" s="1"/>
    </row>
    <row r="13" spans="1:7" x14ac:dyDescent="0.45">
      <c r="A13" s="1"/>
      <c r="B13" s="80" t="s">
        <v>68</v>
      </c>
      <c r="C13" s="81"/>
      <c r="D13" s="82"/>
      <c r="E13" s="9">
        <v>19925.138599999998</v>
      </c>
      <c r="F13" s="8" t="s">
        <v>3</v>
      </c>
      <c r="G13" s="1"/>
    </row>
    <row r="14" spans="1:7" x14ac:dyDescent="0.45">
      <c r="A14" s="1"/>
      <c r="B14" s="80" t="s">
        <v>41</v>
      </c>
      <c r="C14" s="81"/>
      <c r="D14" s="82"/>
      <c r="E14" s="9">
        <v>0</v>
      </c>
      <c r="F14" s="8" t="s">
        <v>3</v>
      </c>
      <c r="G14" s="1"/>
    </row>
    <row r="15" spans="1:7" x14ac:dyDescent="0.45">
      <c r="A15" s="1"/>
      <c r="B15" s="80" t="s">
        <v>40</v>
      </c>
      <c r="C15" s="81"/>
      <c r="D15" s="82"/>
      <c r="E15" s="9">
        <v>0</v>
      </c>
      <c r="F15" s="8" t="s">
        <v>3</v>
      </c>
      <c r="G15" s="1"/>
    </row>
    <row r="16" spans="1:7" x14ac:dyDescent="0.45">
      <c r="A16" s="1"/>
      <c r="B16" s="80" t="s">
        <v>43</v>
      </c>
      <c r="C16" s="81"/>
      <c r="D16" s="82"/>
      <c r="E16" s="9">
        <v>0</v>
      </c>
      <c r="F16" s="8" t="s">
        <v>3</v>
      </c>
      <c r="G16" s="1"/>
    </row>
    <row r="17" spans="1:7" x14ac:dyDescent="0.45">
      <c r="A17" s="1"/>
      <c r="B17" s="80" t="s">
        <v>42</v>
      </c>
      <c r="C17" s="81"/>
      <c r="D17" s="82"/>
      <c r="E17" s="9">
        <v>0</v>
      </c>
      <c r="F17" s="8" t="s">
        <v>3</v>
      </c>
      <c r="G17" s="1"/>
    </row>
    <row r="18" spans="1:7" x14ac:dyDescent="0.45">
      <c r="A18" s="1"/>
      <c r="B18" s="80" t="s">
        <v>26</v>
      </c>
      <c r="C18" s="81"/>
      <c r="D18" s="82"/>
      <c r="E18" s="9">
        <f>SUM(E9:E17)*'Fane 14. Nøgletal'!C11</f>
        <v>689240.13948011911</v>
      </c>
      <c r="F18" s="8" t="s">
        <v>3</v>
      </c>
      <c r="G18" s="1"/>
    </row>
    <row r="19" spans="1:7" x14ac:dyDescent="0.45">
      <c r="A19" s="1"/>
      <c r="B19" s="80" t="s">
        <v>10</v>
      </c>
      <c r="C19" s="81"/>
      <c r="D19" s="82"/>
      <c r="E19" s="9">
        <f>-SUM(E9:E18)*'Fane 5. Individuelt eff. krav'!G10</f>
        <v>-288703.14720396668</v>
      </c>
      <c r="F19" s="8" t="s">
        <v>3</v>
      </c>
      <c r="G19" s="1"/>
    </row>
    <row r="20" spans="1:7" x14ac:dyDescent="0.45">
      <c r="A20" s="1"/>
      <c r="B20" s="80" t="s">
        <v>38</v>
      </c>
      <c r="C20" s="81"/>
      <c r="D20" s="82"/>
      <c r="E20" s="9">
        <f>-'Fane 4.1. Gen. krav - drift'!G20</f>
        <v>-422429.24147657072</v>
      </c>
      <c r="F20" s="8" t="s">
        <v>3</v>
      </c>
      <c r="G20" s="1"/>
    </row>
    <row r="21" spans="1:7" x14ac:dyDescent="0.45">
      <c r="A21" s="1"/>
      <c r="B21" s="80" t="s">
        <v>39</v>
      </c>
      <c r="C21" s="81"/>
      <c r="D21" s="82"/>
      <c r="E21" s="9">
        <f>-'Fane 4.2. Gen. krav - anlæg'!G19</f>
        <v>-179747.41115717683</v>
      </c>
      <c r="F21" s="8" t="s">
        <v>3</v>
      </c>
      <c r="G21" s="1"/>
    </row>
    <row r="22" spans="1:7" x14ac:dyDescent="0.45">
      <c r="A22" s="1"/>
      <c r="B22" s="83" t="s">
        <v>28</v>
      </c>
      <c r="C22" s="84"/>
      <c r="D22" s="85"/>
      <c r="E22" s="10">
        <f>SUM(E9:E21)</f>
        <v>40581800.545566618</v>
      </c>
      <c r="F22" s="11" t="s">
        <v>3</v>
      </c>
      <c r="G22" s="1"/>
    </row>
    <row r="23" spans="1:7" x14ac:dyDescent="0.45">
      <c r="A23" s="1"/>
      <c r="B23" s="96" t="s">
        <v>17</v>
      </c>
      <c r="C23" s="97"/>
      <c r="D23" s="97"/>
      <c r="E23" s="47"/>
      <c r="F23" s="22"/>
      <c r="G23" s="1"/>
    </row>
    <row r="24" spans="1:7" x14ac:dyDescent="0.45">
      <c r="A24" s="1"/>
      <c r="B24" s="86" t="s">
        <v>17</v>
      </c>
      <c r="C24" s="87"/>
      <c r="D24" s="88"/>
      <c r="E24" s="10">
        <v>23051813.668236576</v>
      </c>
      <c r="F24" s="11" t="s">
        <v>3</v>
      </c>
      <c r="G24" s="1"/>
    </row>
    <row r="25" spans="1:7" x14ac:dyDescent="0.4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45">
      <c r="A26" s="1"/>
      <c r="B26" s="89" t="s">
        <v>132</v>
      </c>
      <c r="C26" s="90"/>
      <c r="D26" s="91"/>
      <c r="E26" s="10">
        <v>118339.40933456241</v>
      </c>
      <c r="F26" s="11" t="s">
        <v>3</v>
      </c>
      <c r="G26" s="1"/>
    </row>
    <row r="27" spans="1:7" x14ac:dyDescent="0.45">
      <c r="A27" s="1"/>
      <c r="B27" s="46" t="s">
        <v>11</v>
      </c>
      <c r="C27" s="47"/>
      <c r="D27" s="47"/>
      <c r="E27" s="47"/>
      <c r="F27" s="22"/>
      <c r="G27" s="1"/>
    </row>
    <row r="28" spans="1:7" x14ac:dyDescent="0.45">
      <c r="A28" s="1"/>
      <c r="B28" s="86" t="s">
        <v>19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6" t="s">
        <v>160</v>
      </c>
      <c r="C29" s="47"/>
      <c r="D29" s="47"/>
      <c r="E29" s="47"/>
      <c r="F29" s="22"/>
      <c r="G29" s="1"/>
    </row>
    <row r="30" spans="1:7" x14ac:dyDescent="0.45">
      <c r="A30" s="1"/>
      <c r="B30" s="86" t="s">
        <v>131</v>
      </c>
      <c r="C30" s="87"/>
      <c r="D30" s="88"/>
      <c r="E30" s="10">
        <v>0</v>
      </c>
      <c r="F30" s="11" t="s">
        <v>3</v>
      </c>
      <c r="G30" s="1"/>
    </row>
    <row r="31" spans="1:7" x14ac:dyDescent="0.45">
      <c r="A31" s="1"/>
      <c r="B31" s="46" t="s">
        <v>23</v>
      </c>
      <c r="C31" s="47"/>
      <c r="D31" s="47"/>
      <c r="E31" s="12">
        <f>SUM(E28,E26,E24,E22,E30)</f>
        <v>63751953.623137757</v>
      </c>
      <c r="F31" s="13" t="s">
        <v>3</v>
      </c>
      <c r="G31" s="1"/>
    </row>
    <row r="32" spans="1:7" ht="28.15" customHeight="1" x14ac:dyDescent="0.45">
      <c r="A32" s="1"/>
      <c r="B32" s="77" t="s">
        <v>189</v>
      </c>
      <c r="C32" s="78"/>
      <c r="D32" s="78"/>
      <c r="E32" s="78"/>
      <c r="F32" s="79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A/+JZ68Y++sB7y31nVeUqMWd9p+A+kw1JKytD06chzFzIVePDZlwjhBeiImT3xgkWXnsWkqbpzaYv8nJ/XVOSQ==" saltValue="t1znTZjRw2cQ92IwRJrIYg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4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45">
      <c r="A6" s="1"/>
      <c r="B6" s="101" t="s">
        <v>86</v>
      </c>
      <c r="C6" s="102"/>
      <c r="D6" s="102"/>
      <c r="E6" s="102"/>
      <c r="F6" s="103"/>
      <c r="G6" s="26">
        <v>22461588.906828538</v>
      </c>
      <c r="H6" s="14" t="s">
        <v>3</v>
      </c>
      <c r="I6" s="1"/>
    </row>
    <row r="7" spans="1:9" x14ac:dyDescent="0.45">
      <c r="A7" s="1"/>
      <c r="B7" s="101" t="s">
        <v>87</v>
      </c>
      <c r="C7" s="102"/>
      <c r="D7" s="102"/>
      <c r="E7" s="102"/>
      <c r="F7" s="103"/>
      <c r="G7" s="26">
        <f>G6*'Fane 14. Nøgletal'!C25</f>
        <v>449231.77813657076</v>
      </c>
      <c r="H7" s="14" t="s">
        <v>3</v>
      </c>
      <c r="I7" s="1"/>
    </row>
    <row r="8" spans="1:9" x14ac:dyDescent="0.4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4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22291914.064226355</v>
      </c>
      <c r="H11" s="14" t="s">
        <v>3</v>
      </c>
      <c r="I11" s="1"/>
    </row>
    <row r="12" spans="1:9" x14ac:dyDescent="0.4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4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445838.2812845271</v>
      </c>
      <c r="H13" s="14" t="s">
        <v>3</v>
      </c>
      <c r="I13" s="1"/>
    </row>
    <row r="14" spans="1:9" x14ac:dyDescent="0.4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4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22215274.463673543</v>
      </c>
      <c r="H17" s="14" t="s">
        <v>3</v>
      </c>
      <c r="I17" s="1"/>
    </row>
    <row r="18" spans="1:9" x14ac:dyDescent="0.45">
      <c r="A18" s="1"/>
      <c r="B18" s="101" t="s">
        <v>222</v>
      </c>
      <c r="C18" s="102"/>
      <c r="D18" s="102"/>
      <c r="E18" s="102"/>
      <c r="F18" s="103"/>
      <c r="G18" s="26">
        <v>-1093812.3898450055</v>
      </c>
      <c r="H18" s="14" t="s">
        <v>3</v>
      </c>
      <c r="I18" s="1"/>
    </row>
    <row r="19" spans="1:9" x14ac:dyDescent="0.4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4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422429.24147657072</v>
      </c>
      <c r="H20" s="14" t="s">
        <v>3</v>
      </c>
      <c r="I20" s="1"/>
    </row>
    <row r="21" spans="1:9" x14ac:dyDescent="0.4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4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21048846.487218715</v>
      </c>
      <c r="H24" s="14" t="s">
        <v>3</v>
      </c>
      <c r="I24" s="1"/>
    </row>
    <row r="25" spans="1:9" x14ac:dyDescent="0.4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531560.34806183935</v>
      </c>
      <c r="H25" s="14" t="s">
        <v>3</v>
      </c>
      <c r="I25" s="1"/>
    </row>
    <row r="26" spans="1:9" x14ac:dyDescent="0.4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431608.13670561113</v>
      </c>
      <c r="H26" s="14" t="s">
        <v>3</v>
      </c>
      <c r="I26" s="1"/>
    </row>
    <row r="27" spans="1:9" x14ac:dyDescent="0.4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4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21565430.032936871</v>
      </c>
      <c r="H30" s="14" t="s">
        <v>3</v>
      </c>
      <c r="I30" s="1"/>
    </row>
    <row r="31" spans="1:9" x14ac:dyDescent="0.4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431308.60065873741</v>
      </c>
      <c r="H32" s="14" t="s">
        <v>3</v>
      </c>
      <c r="I32" s="1"/>
    </row>
    <row r="33" spans="1:9" x14ac:dyDescent="0.4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4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21550463.624494012</v>
      </c>
      <c r="H36" s="14" t="s">
        <v>3</v>
      </c>
      <c r="I36" s="1"/>
    </row>
    <row r="37" spans="1:9" x14ac:dyDescent="0.4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431009.27248988027</v>
      </c>
      <c r="H38" s="14" t="s">
        <v>3</v>
      </c>
      <c r="I38" s="1"/>
    </row>
    <row r="39" spans="1:9" x14ac:dyDescent="0.4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4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21535507.602738615</v>
      </c>
      <c r="H42" s="14" t="s">
        <v>3</v>
      </c>
      <c r="I42" s="1"/>
    </row>
    <row r="43" spans="1:9" x14ac:dyDescent="0.4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430710.1520547723</v>
      </c>
      <c r="H44" s="14" t="s">
        <v>3</v>
      </c>
      <c r="I44" s="1"/>
    </row>
    <row r="45" spans="1:9" x14ac:dyDescent="0.4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2JyE83z9RW0p2TOjtiI3D8yyRoOMKiLuj8uU1p68fRb9vCU+rGNZIj8G1hwsaZM4qHg96ctKvsUP58ZAUvxBg==" saltValue="YFkf+xaz61dNV5tvgqw15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45">
      <c r="A5" s="1"/>
      <c r="B5" s="101" t="s">
        <v>106</v>
      </c>
      <c r="C5" s="102"/>
      <c r="D5" s="102"/>
      <c r="E5" s="102"/>
      <c r="F5" s="103"/>
      <c r="G5" s="26">
        <v>20844582.670997187</v>
      </c>
      <c r="H5" s="14" t="s">
        <v>3</v>
      </c>
      <c r="I5" s="1"/>
    </row>
    <row r="6" spans="1:9" x14ac:dyDescent="0.45">
      <c r="A6" s="1"/>
      <c r="B6" s="101" t="s">
        <v>102</v>
      </c>
      <c r="C6" s="102"/>
      <c r="D6" s="102"/>
      <c r="E6" s="102"/>
      <c r="F6" s="103"/>
      <c r="G6" s="26">
        <f>G5*'Fane 14. Nøgletal'!C17</f>
        <v>189685.70230607441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4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20917214.160193492</v>
      </c>
      <c r="H10" s="14" t="s">
        <v>3</v>
      </c>
      <c r="I10" s="1"/>
    </row>
    <row r="11" spans="1:9" x14ac:dyDescent="0.4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4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190346.6488577608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4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21077151.572277304</v>
      </c>
      <c r="H16" s="14" t="s">
        <v>3</v>
      </c>
      <c r="I16" s="1"/>
    </row>
    <row r="17" spans="1:9" x14ac:dyDescent="0.45">
      <c r="A17" s="1"/>
      <c r="B17" s="101" t="s">
        <v>223</v>
      </c>
      <c r="C17" s="102"/>
      <c r="D17" s="102"/>
      <c r="E17" s="102"/>
      <c r="F17" s="103"/>
      <c r="G17" s="26">
        <v>-436791.47363035317</v>
      </c>
      <c r="H17" s="14" t="s">
        <v>3</v>
      </c>
      <c r="I17" s="1"/>
    </row>
    <row r="18" spans="1:9" x14ac:dyDescent="0.45">
      <c r="A18" s="1"/>
      <c r="B18" s="104" t="s">
        <v>113</v>
      </c>
      <c r="C18" s="105"/>
      <c r="D18" s="105"/>
      <c r="E18" s="105"/>
      <c r="F18" s="106"/>
      <c r="G18" s="26">
        <v>20261.873442339995</v>
      </c>
      <c r="H18" s="14" t="s">
        <v>3</v>
      </c>
      <c r="I18" s="1"/>
    </row>
    <row r="19" spans="1:9" x14ac:dyDescent="0.4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179747.41115717683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4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20827001.341011867</v>
      </c>
      <c r="H23" s="14" t="s">
        <v>3</v>
      </c>
      <c r="I23" s="1"/>
    </row>
    <row r="24" spans="1:9" x14ac:dyDescent="0.4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3079662.0991121223</v>
      </c>
      <c r="H24" s="14" t="s">
        <v>3</v>
      </c>
      <c r="I24" s="1"/>
    </row>
    <row r="25" spans="1:9" x14ac:dyDescent="0.4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268657.31528158754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4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24103674.845501799</v>
      </c>
      <c r="H29" s="14" t="s">
        <v>3</v>
      </c>
      <c r="I29" s="1"/>
    </row>
    <row r="30" spans="1:9" x14ac:dyDescent="0.4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684544.3656122511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4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23880487.350343376</v>
      </c>
      <c r="H35" s="14" t="s">
        <v>3</v>
      </c>
      <c r="I35" s="1"/>
    </row>
    <row r="36" spans="1:9" x14ac:dyDescent="0.4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678205.84074975189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4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23659366.455332622</v>
      </c>
      <c r="H41" s="14" t="s">
        <v>3</v>
      </c>
      <c r="I41" s="1"/>
    </row>
    <row r="42" spans="1:9" x14ac:dyDescent="0.4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671926.00733144651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5ApdopxnV08TSnhuSJEcTdmI9N7hGBok6oLq4sw3X5g50XYSOD10LN7IsqkgnzHlkUhwMknbJivpD//0VsprQ==" saltValue="wGbNrzMV0ARtcqZDhybgZ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45">
      <c r="A9" s="1"/>
      <c r="B9" s="101" t="s">
        <v>178</v>
      </c>
      <c r="C9" s="102"/>
      <c r="D9" s="102"/>
      <c r="E9" s="102"/>
      <c r="F9" s="103"/>
      <c r="G9" s="25">
        <v>3.6098743165030151E-3</v>
      </c>
      <c r="H9" s="14"/>
      <c r="I9" s="1"/>
    </row>
    <row r="10" spans="1:9" x14ac:dyDescent="0.45">
      <c r="A10" s="1"/>
      <c r="B10" s="101" t="s">
        <v>179</v>
      </c>
      <c r="C10" s="102"/>
      <c r="D10" s="102"/>
      <c r="E10" s="102"/>
      <c r="F10" s="103"/>
      <c r="G10" s="25">
        <v>6.961284990492745E-3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swFoC4YNf1785DEhLH7Y4wgvGLxPVzpO3RruYZUz6qcJUNEdwM0ntGfS4gPwv8o4hBL5zjiH+VNkmwEG84QQg==" saltValue="Cp/VnYEfYWwkNVKxBu7vl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2021-09-14T22:13:30Z</dcterms:modified>
</cp:coreProperties>
</file>