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Ballerup AS (S00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s="1"/>
  <c r="C15" i="37" l="1"/>
  <c r="C10" i="2" s="1"/>
  <c r="G44" i="30" s="1"/>
  <c r="G35" i="36"/>
  <c r="G37" i="36" l="1"/>
  <c r="E19" i="27" s="1"/>
  <c r="G41" i="36" l="1"/>
  <c r="G27" i="30"/>
  <c r="G31" i="30" l="1"/>
  <c r="E10" i="37"/>
  <c r="E14" i="37" s="1"/>
  <c r="G33" i="30" l="1"/>
  <c r="G37" i="30" s="1"/>
  <c r="G39" i="30" s="1"/>
  <c r="E15"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<sst xmlns="http://schemas.openxmlformats.org/spreadsheetml/2006/main" count="611" uniqueCount="289">
  <si>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</si>
  <si>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</si>
  <si>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</si>
  <si>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</si>
  <si>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</si>
  <si>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</si>
  <si>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</si>
  <si>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</si>
  <si>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</si>
  <si>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</si>
  <si>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</si>
  <si>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</si>
  <si>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</si>
  <si>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</si>
  <si>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</si>
  <si>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</si>
  <si>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</si>
  <si>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</si>
  <si>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</si>
  <si>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</si>
  <si>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</si>
  <si>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</si>
  <si>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</si>
  <si>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</si>
  <si>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</si>
  <si>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</si>
  <si>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</si>
  <si>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</si>
  <si>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</si>
  <si>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</si>
  <si>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</si>
  <si>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</si>
  <si>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</si>
  <si>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</si>
  <si>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</si>
  <si>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</si>
  <si>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</si>
  <si>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</si>
  <si>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</si>
  <si>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</si>
  <si>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</si>
  <si>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</si>
  <si>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</si>
  <si>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</si>
  <si>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</si>
  <si>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</si>
  <si>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</si>
  <si>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</si>
  <si>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</si>
  <si>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</si>
  <si>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</si>
  <si>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</si>
  <si>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</si>
  <si>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</si>
  <si>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</si>
  <si>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</si>
  <si>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</si>
  <si>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</si>
  <si>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</si>
  <si>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</si>
  <si>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</si>
  <si>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</si>
  <si>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</si>
  <si>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</si>
  <si>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</si>
  <si>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</si>
  <si>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</si>
  <si>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</si>
  <si>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</si>
  <si>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</si>
  <si>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</si>
  <si>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</si>
  <si>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</si>
  <si>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</si>
  <si>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</si>
  <si>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</si>
  <si>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</si>
  <si>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</si>
  <si>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</si>
  <si>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</si>
  <si>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</si>
  <si>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</si>
  <si>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</si>
  <si>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</si>
  <si>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</si>
  <si>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</si>
  <si>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</si>
  <si>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</si>
  <si>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</si>
  <si>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</si>
  <si>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</si>
  <si>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</si>
  <si>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</si>
  <si>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</si>
  <si>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</si>
  <si>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</si>
  <si>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</si>
  <si>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</si>
  <si>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</si>
  <si>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</si>
  <si>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</si>
  <si>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</si>
  <si>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</si>
  <si>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</si>
  <si>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</si>
  <si>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</si>
  <si>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</si>
  <si>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</si>
  <si>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</si>
  <si>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</si>
  <si>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</si>
  <si>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</si>
  <si>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</si>
  <si>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</si>
  <si>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</si>
  <si>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</si>
  <si>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</si>
  <si>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</si>
  <si>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</si>
  <si>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</si>
  <si>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</si>
  <si>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</si>
  <si>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</si>
  <si>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</si>
  <si>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</si>
  <si>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</si>
  <si>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</si>
  <si>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</si>
  <si>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</si>
  <si>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</si>
  <si>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</si>
  <si>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</si>
  <si>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</si>
  <si>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</si>
  <si>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</si>
  <si>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</si>
  <si>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</si>
  <si>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</si>
  <si>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</si>
  <si>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</si>
  <si>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</si>
  <si>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</si>
  <si>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</si>
  <si>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</si>
  <si>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</si>
  <si>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</si>
  <si>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</si>
  <si>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</si>
  <si>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</si>
  <si>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</si>
  <si>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</si>
  <si>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</si>
  <si>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</si>
  <si>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</si>
  <si>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</si>
  <si>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</si>
  <si>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</si>
  <si>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</si>
  <si>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</si>
  <si>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</si>
  <si>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</si>
  <si>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</si>
  <si>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</si>
  <si>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</si>
  <si>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</si>
  <si>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</si>
  <si>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</si>
  <si>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</si>
  <si>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</si>
  <si>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</si>
  <si>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</si>
  <si>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</si>
  <si>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</si>
  <si>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</si>
  <si>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</si>
  <si>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</si>
  <si>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</si>
  <si>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</si>
  <si>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</si>
  <si>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</si>
  <si>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</si>
  <si>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</si>
  <si>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</si>
  <si>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</si>
  <si>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</si>
  <si>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</si>
  <si>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</si>
  <si>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</si>
  <si>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</si>
  <si>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</si>
  <si>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</si>
  <si>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</si>
  <si>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</si>
  <si>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</si>
  <si>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</si>
  <si>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</si>
  <si>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</si>
  <si>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</si>
  <si>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</si>
  <si>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</si>
  <si>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</si>
  <si>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</si>
  <si>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</si>
  <si>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</si>
  <si>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</si>
  <si>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</si>
  <si>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</si>
  <si>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</si>
  <si>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</si>
  <si>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</si>
  <si>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</si>
  <si>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</si>
  <si>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</si>
  <si>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</si>
  <si>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</si>
  <si>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</si>
  <si>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</si>
  <si>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</si>
  <si>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</si>
  <si>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</si>
  <si>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</si>
  <si>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</si>
  <si>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</si>
  <si>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</si>
  <si>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</si>
  <si>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</si>
  <si>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</si>
  <si>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</si>
  <si>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</si>
  <si>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</si>
  <si>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</si>
  <si>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</si>
  <si>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</si>
  <si>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</si>
  <si>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</si>
  <si>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</si>
  <si>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</si>
  <si>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</si>
  <si>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</si>
  <si>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</si>
  <si>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</si>
  <si>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</si>
  <si>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</si>
  <si>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</si>
  <si>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</si>
  <si>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</si>
  <si>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</si>
  <si>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</si>
  <si>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</si>
  <si>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</si>
  <si>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</si>
  <si>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</si>
  <si>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</si>
  <si>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</si>
  <si>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</si>
  <si>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</si>
  <si>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</si>
  <si>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</si>
  <si>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</si>
  <si>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</si>
  <si>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</si>
  <si>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</si>
  <si>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</si>
  <si>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</si>
  <si>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</si>
  <si>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</si>
  <si>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</si>
  <si>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</si>
  <si>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Harrestrup Å</t>
  </si>
  <si>
    <t>Udvidelser</t>
  </si>
  <si>
    <t>Oprensning af bassiner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</si>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</sst>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6" t="s">
        <v>4</v>
      </c>
      <c r="E6" s="106"/>
      <c r="F6" s="106"/>
      <c r="G6" s="106"/>
      <c r="H6" s="3"/>
      <c r="I6" s="1"/>
    </row>
    <row r="7" spans="1:9" ht="15" customHeight="1" x14ac:dyDescent="0.25">
      <c r="A7" s="1"/>
      <c r="B7" s="1"/>
      <c r="C7" s="3"/>
      <c r="D7" s="106"/>
      <c r="E7" s="106"/>
      <c r="F7" s="106"/>
      <c r="G7" s="106"/>
      <c r="H7" s="3"/>
      <c r="I7" s="1"/>
    </row>
    <row r="8" spans="1:9" ht="15.75" x14ac:dyDescent="0.25">
      <c r="A8" s="1"/>
      <c r="B8" s="1"/>
      <c r="C8" s="4"/>
      <c r="D8" s="111" t="s">
        <v>225</v>
      </c>
      <c r="E8" s="111"/>
      <c r="F8" s="111"/>
      <c r="G8" s="111"/>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0" t="s">
        <v>5</v>
      </c>
      <c r="E11" s="110"/>
      <c r="F11" s="110"/>
      <c r="G11" s="110"/>
      <c r="H11" s="5"/>
      <c r="I11" s="1"/>
    </row>
    <row r="12" spans="1:9" x14ac:dyDescent="0.25">
      <c r="A12" s="1"/>
      <c r="B12" s="1"/>
      <c r="C12" s="1"/>
      <c r="D12" s="1"/>
      <c r="E12" s="1"/>
      <c r="F12" s="1"/>
      <c r="G12" s="1"/>
      <c r="H12" s="5"/>
      <c r="I12" s="1"/>
    </row>
    <row r="13" spans="1:9" x14ac:dyDescent="0.25">
      <c r="A13" s="1"/>
      <c r="B13" s="1"/>
      <c r="C13" s="6" t="s">
        <v>6</v>
      </c>
      <c r="D13" s="112" t="s">
        <v>169</v>
      </c>
      <c r="E13" s="113"/>
      <c r="F13" s="113"/>
      <c r="G13" s="114"/>
      <c r="H13" s="5"/>
      <c r="I13" s="1"/>
    </row>
    <row r="14" spans="1:9" x14ac:dyDescent="0.25">
      <c r="A14" s="1"/>
      <c r="B14" s="1"/>
      <c r="C14" s="6" t="s">
        <v>16</v>
      </c>
      <c r="D14" s="103" t="s">
        <v>235</v>
      </c>
      <c r="E14" s="104"/>
      <c r="F14" s="104"/>
      <c r="G14" s="105"/>
      <c r="H14" s="5"/>
      <c r="I14" s="1"/>
    </row>
    <row r="15" spans="1:9" x14ac:dyDescent="0.25">
      <c r="A15" s="1"/>
      <c r="B15" s="1"/>
      <c r="C15" s="6" t="s">
        <v>34</v>
      </c>
      <c r="D15" s="103" t="s">
        <v>170</v>
      </c>
      <c r="E15" s="104"/>
      <c r="F15" s="104"/>
      <c r="G15" s="105"/>
      <c r="H15" s="5"/>
      <c r="I15" s="1"/>
    </row>
    <row r="16" spans="1:9" x14ac:dyDescent="0.25">
      <c r="A16" s="1"/>
      <c r="B16" s="1"/>
      <c r="C16" s="6" t="s">
        <v>35</v>
      </c>
      <c r="D16" s="103" t="s">
        <v>182</v>
      </c>
      <c r="E16" s="104"/>
      <c r="F16" s="104"/>
      <c r="G16" s="105"/>
      <c r="H16" s="5"/>
      <c r="I16" s="1"/>
    </row>
    <row r="17" spans="1:9" x14ac:dyDescent="0.25">
      <c r="A17" s="1"/>
      <c r="B17" s="1"/>
      <c r="C17" s="6" t="s">
        <v>119</v>
      </c>
      <c r="D17" s="103" t="s">
        <v>183</v>
      </c>
      <c r="E17" s="104"/>
      <c r="F17" s="104"/>
      <c r="G17" s="105"/>
      <c r="H17" s="5"/>
      <c r="I17" s="1"/>
    </row>
    <row r="18" spans="1:9" x14ac:dyDescent="0.25">
      <c r="A18" s="1"/>
      <c r="B18" s="1"/>
      <c r="C18" s="6" t="s">
        <v>106</v>
      </c>
      <c r="D18" s="100" t="s">
        <v>95</v>
      </c>
      <c r="E18" s="101"/>
      <c r="F18" s="101"/>
      <c r="G18" s="102"/>
      <c r="H18" s="5"/>
      <c r="I18" s="1"/>
    </row>
    <row r="19" spans="1:9" x14ac:dyDescent="0.25">
      <c r="A19" s="1"/>
      <c r="B19" s="1"/>
      <c r="C19" s="6" t="s">
        <v>107</v>
      </c>
      <c r="D19" s="100" t="s">
        <v>96</v>
      </c>
      <c r="E19" s="101"/>
      <c r="F19" s="101"/>
      <c r="G19" s="102"/>
      <c r="H19" s="5"/>
      <c r="I19" s="1"/>
    </row>
    <row r="20" spans="1:9" x14ac:dyDescent="0.25">
      <c r="A20" s="1"/>
      <c r="B20" s="1"/>
      <c r="C20" s="6" t="s">
        <v>7</v>
      </c>
      <c r="D20" s="100" t="s">
        <v>10</v>
      </c>
      <c r="E20" s="101"/>
      <c r="F20" s="101"/>
      <c r="G20" s="102"/>
      <c r="H20" s="5"/>
      <c r="I20" s="1"/>
    </row>
    <row r="21" spans="1:9" x14ac:dyDescent="0.25">
      <c r="A21" s="1"/>
      <c r="B21" s="1"/>
      <c r="C21" s="6" t="s">
        <v>108</v>
      </c>
      <c r="D21" s="107" t="s">
        <v>12</v>
      </c>
      <c r="E21" s="108"/>
      <c r="F21" s="108"/>
      <c r="G21" s="109"/>
      <c r="H21" s="5"/>
      <c r="I21" s="1"/>
    </row>
    <row r="22" spans="1:9" x14ac:dyDescent="0.25">
      <c r="A22" s="1"/>
      <c r="B22" s="1"/>
      <c r="C22" s="6" t="s">
        <v>83</v>
      </c>
      <c r="D22" s="94" t="s">
        <v>184</v>
      </c>
      <c r="E22" s="95"/>
      <c r="F22" s="95"/>
      <c r="G22" s="96"/>
      <c r="H22" s="5"/>
      <c r="I22" s="1"/>
    </row>
    <row r="23" spans="1:9" x14ac:dyDescent="0.25">
      <c r="A23" s="1"/>
      <c r="B23" s="1"/>
      <c r="C23" s="6" t="s">
        <v>8</v>
      </c>
      <c r="D23" s="94" t="s">
        <v>253</v>
      </c>
      <c r="E23" s="95"/>
      <c r="F23" s="95"/>
      <c r="G23" s="96"/>
      <c r="H23" s="5"/>
      <c r="I23" s="1"/>
    </row>
    <row r="24" spans="1:9" x14ac:dyDescent="0.25">
      <c r="A24" s="1"/>
      <c r="B24" s="1"/>
      <c r="C24" s="6" t="s">
        <v>9</v>
      </c>
      <c r="D24" s="94" t="s">
        <v>185</v>
      </c>
      <c r="E24" s="95"/>
      <c r="F24" s="95"/>
      <c r="G24" s="96"/>
      <c r="H24" s="5"/>
      <c r="I24" s="1"/>
    </row>
    <row r="25" spans="1:9" x14ac:dyDescent="0.25">
      <c r="A25" s="1"/>
      <c r="B25" s="1"/>
      <c r="C25" s="6" t="s">
        <v>246</v>
      </c>
      <c r="D25" s="94" t="s">
        <v>237</v>
      </c>
      <c r="E25" s="95"/>
      <c r="F25" s="95"/>
      <c r="G25" s="96"/>
      <c r="H25" s="1"/>
      <c r="I25" s="1"/>
    </row>
    <row r="26" spans="1:9" x14ac:dyDescent="0.25">
      <c r="A26" s="1"/>
      <c r="B26" s="1"/>
      <c r="C26" s="6" t="s">
        <v>247</v>
      </c>
      <c r="D26" s="94" t="s">
        <v>84</v>
      </c>
      <c r="E26" s="95"/>
      <c r="F26" s="95"/>
      <c r="G26" s="96"/>
      <c r="H26" s="1"/>
      <c r="I26" s="1"/>
    </row>
    <row r="27" spans="1:9" x14ac:dyDescent="0.25">
      <c r="A27" s="1"/>
      <c r="B27" s="1"/>
      <c r="C27" s="6" t="s">
        <v>248</v>
      </c>
      <c r="D27" s="94" t="s">
        <v>85</v>
      </c>
      <c r="E27" s="95"/>
      <c r="F27" s="95"/>
      <c r="G27" s="96"/>
      <c r="H27" s="1"/>
      <c r="I27" s="1"/>
    </row>
    <row r="28" spans="1:9" x14ac:dyDescent="0.25">
      <c r="A28" s="1"/>
      <c r="B28" s="1"/>
      <c r="C28" s="6" t="s">
        <v>15</v>
      </c>
      <c r="D28" s="94" t="s">
        <v>86</v>
      </c>
      <c r="E28" s="95"/>
      <c r="F28" s="95"/>
      <c r="G28" s="96"/>
      <c r="H28" s="1"/>
      <c r="I28" s="1"/>
    </row>
    <row r="29" spans="1:9" x14ac:dyDescent="0.25">
      <c r="A29" s="1"/>
      <c r="B29" s="1"/>
      <c r="C29" s="6" t="s">
        <v>37</v>
      </c>
      <c r="D29" s="94" t="s">
        <v>134</v>
      </c>
      <c r="E29" s="95"/>
      <c r="F29" s="95"/>
      <c r="G29" s="96"/>
      <c r="H29" s="1"/>
      <c r="I29" s="1"/>
    </row>
    <row r="30" spans="1:9" x14ac:dyDescent="0.25">
      <c r="A30" s="1"/>
      <c r="B30" s="1"/>
      <c r="C30" s="6" t="s">
        <v>38</v>
      </c>
      <c r="D30" s="94" t="s">
        <v>36</v>
      </c>
      <c r="E30" s="95"/>
      <c r="F30" s="95"/>
      <c r="G30" s="96"/>
      <c r="H30" s="1"/>
      <c r="I30" s="1"/>
    </row>
    <row r="31" spans="1:9" x14ac:dyDescent="0.25">
      <c r="A31" s="1"/>
      <c r="B31" s="1"/>
      <c r="C31" s="6" t="s">
        <v>249</v>
      </c>
      <c r="D31" s="97" t="s">
        <v>105</v>
      </c>
      <c r="E31" s="98"/>
      <c r="F31" s="98"/>
      <c r="G31" s="9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49"/>
      <c r="B50" s="48"/>
      <c r="C50" s="48"/>
      <c r="D50" s="48"/>
      <c r="E50" s="48"/>
      <c r="F50" s="48"/>
      <c r="G50" s="48"/>
      <c r="H50" s="48"/>
      <c r="I50" s="48"/>
    </row>
    <row r="51" spans="1:9" x14ac:dyDescent="0.25">
      <c r="A51" s="48"/>
      <c r="B51" s="48"/>
      <c r="C51" s="48"/>
      <c r="D51" s="48"/>
      <c r="E51" s="48"/>
      <c r="F51" s="48"/>
      <c r="G51" s="48"/>
      <c r="H51" s="48"/>
      <c r="I51" s="48"/>
    </row>
  </sheetData>
  <sheetProtection algorithmName="SHA-512" hashValue="MNLaQkQgmN4tRyJySNSoeIgyD9QDM72DEtbuRvGCWv7DRvO/aGw3c7ZY+5g/+Dk/LyS5EpXhy054ibL2JIDFuQ==" saltValue="EuiYSL6ve/NeFOWWYmyXt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111</v>
      </c>
      <c r="C3" s="115"/>
      <c r="D3" s="115"/>
      <c r="E3" s="1"/>
      <c r="F3" s="1"/>
    </row>
    <row r="4" spans="1:6" ht="15" customHeight="1" x14ac:dyDescent="0.25">
      <c r="A4" s="1"/>
      <c r="B4" s="115"/>
      <c r="C4" s="115"/>
      <c r="D4" s="11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5" t="s">
        <v>32</v>
      </c>
      <c r="C9" s="54" t="s">
        <v>240</v>
      </c>
      <c r="D9" s="11"/>
      <c r="E9" s="1"/>
      <c r="F9" s="1"/>
    </row>
    <row r="10" spans="1:6" x14ac:dyDescent="0.25">
      <c r="A10" s="1"/>
      <c r="B10" s="90" t="s">
        <v>265</v>
      </c>
      <c r="C10" s="9">
        <v>127102</v>
      </c>
      <c r="D10" s="14" t="s">
        <v>3</v>
      </c>
      <c r="E10" s="1"/>
      <c r="F10" s="1"/>
    </row>
    <row r="11" spans="1:6" ht="26.25" x14ac:dyDescent="0.25">
      <c r="A11" s="1"/>
      <c r="B11" s="27" t="s">
        <v>266</v>
      </c>
      <c r="C11" s="9">
        <v>23097034</v>
      </c>
      <c r="D11" s="14" t="s">
        <v>3</v>
      </c>
      <c r="E11" s="1"/>
      <c r="F11" s="1"/>
    </row>
    <row r="12" spans="1:6" x14ac:dyDescent="0.25">
      <c r="A12" s="1"/>
      <c r="B12" s="90" t="s">
        <v>267</v>
      </c>
      <c r="C12" s="9">
        <v>187431</v>
      </c>
      <c r="D12" s="14" t="s">
        <v>3</v>
      </c>
      <c r="E12" s="1"/>
      <c r="F12" s="1"/>
    </row>
    <row r="13" spans="1:6" x14ac:dyDescent="0.25">
      <c r="A13" s="1"/>
      <c r="B13" s="31" t="s">
        <v>200</v>
      </c>
      <c r="C13" s="12">
        <f>SUM(C10:C12)</f>
        <v>23411567</v>
      </c>
      <c r="D13" s="13" t="s">
        <v>3</v>
      </c>
      <c r="E13" s="1"/>
      <c r="F13" s="1"/>
    </row>
    <row r="14" spans="1:6" x14ac:dyDescent="0.25">
      <c r="A14" s="1"/>
      <c r="B14" s="31" t="s">
        <v>201</v>
      </c>
      <c r="C14" s="12">
        <f>C13*(1+'Fane 15. Nøgletal'!C15)^2</f>
        <v>25108141.453953121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27" t="s">
        <v>117</v>
      </c>
      <c r="C17" s="128"/>
      <c r="D17" s="129"/>
      <c r="E17" s="1"/>
      <c r="F17" s="1"/>
    </row>
    <row r="18" spans="1:6" x14ac:dyDescent="0.25">
      <c r="A18" s="1"/>
      <c r="B18" s="90" t="s">
        <v>99</v>
      </c>
      <c r="C18" s="9">
        <v>0</v>
      </c>
      <c r="D18" s="14" t="s">
        <v>3</v>
      </c>
      <c r="E18" s="1"/>
      <c r="F18" s="1"/>
    </row>
    <row r="19" spans="1:6" x14ac:dyDescent="0.25">
      <c r="A19" s="1"/>
      <c r="B19" s="90" t="s">
        <v>129</v>
      </c>
      <c r="C19" s="9">
        <v>0</v>
      </c>
      <c r="D19" s="14" t="s">
        <v>3</v>
      </c>
      <c r="E19" s="1"/>
      <c r="F19" s="1"/>
    </row>
    <row r="20" spans="1:6" x14ac:dyDescent="0.25">
      <c r="A20" s="1"/>
      <c r="B20" s="90" t="s">
        <v>155</v>
      </c>
      <c r="C20" s="9">
        <v>0</v>
      </c>
      <c r="D20" s="14" t="s">
        <v>3</v>
      </c>
      <c r="E20" s="1"/>
      <c r="F20" s="1"/>
    </row>
    <row r="21" spans="1:6" x14ac:dyDescent="0.25">
      <c r="A21" s="1"/>
      <c r="B21" s="32" t="s">
        <v>202</v>
      </c>
      <c r="C21" s="9">
        <v>0</v>
      </c>
      <c r="D21" s="39" t="s">
        <v>3</v>
      </c>
      <c r="E21" s="1"/>
      <c r="F21" s="1"/>
    </row>
    <row r="22" spans="1:6" x14ac:dyDescent="0.25">
      <c r="A22" s="1"/>
      <c r="B22" s="127"/>
      <c r="C22" s="128"/>
      <c r="D22" s="129"/>
      <c r="E22" s="1"/>
      <c r="F22" s="1"/>
    </row>
    <row r="23" spans="1:6" x14ac:dyDescent="0.25">
      <c r="A23" s="1"/>
      <c r="B23" s="1"/>
      <c r="C23" s="1"/>
      <c r="D23" s="1"/>
      <c r="E23" s="1"/>
      <c r="F23" s="1"/>
    </row>
    <row r="24" spans="1:6" x14ac:dyDescent="0.25">
      <c r="A24" s="1"/>
      <c r="B24" s="1"/>
      <c r="C24" s="1"/>
      <c r="D24" s="1"/>
      <c r="E24" s="1"/>
      <c r="F24" s="1"/>
    </row>
    <row r="25" spans="1:6" x14ac:dyDescent="0.25">
      <c r="A25" s="1"/>
      <c r="B25" s="127" t="s">
        <v>98</v>
      </c>
      <c r="C25" s="128"/>
      <c r="D25" s="129"/>
      <c r="E25" s="1"/>
      <c r="F25" s="1"/>
    </row>
    <row r="26" spans="1:6" x14ac:dyDescent="0.25">
      <c r="A26" s="1"/>
      <c r="B26" s="90" t="s">
        <v>99</v>
      </c>
      <c r="C26" s="9">
        <v>768666</v>
      </c>
      <c r="D26" s="14" t="s">
        <v>3</v>
      </c>
      <c r="E26" s="1"/>
      <c r="F26" s="1"/>
    </row>
    <row r="27" spans="1:6" x14ac:dyDescent="0.25">
      <c r="A27" s="1"/>
      <c r="B27" s="90" t="s">
        <v>129</v>
      </c>
      <c r="C27" s="9">
        <v>0</v>
      </c>
      <c r="D27" s="14" t="s">
        <v>3</v>
      </c>
      <c r="E27" s="1"/>
      <c r="F27" s="1"/>
    </row>
    <row r="28" spans="1:6" x14ac:dyDescent="0.25">
      <c r="A28" s="1"/>
      <c r="B28" s="90" t="s">
        <v>155</v>
      </c>
      <c r="C28" s="9">
        <v>0</v>
      </c>
      <c r="D28" s="14" t="s">
        <v>3</v>
      </c>
      <c r="E28" s="1"/>
      <c r="F28" s="1"/>
    </row>
    <row r="29" spans="1:6" x14ac:dyDescent="0.25">
      <c r="A29" s="1"/>
      <c r="B29" s="32" t="s">
        <v>202</v>
      </c>
      <c r="C29" s="9">
        <v>0</v>
      </c>
      <c r="D29" s="39" t="s">
        <v>3</v>
      </c>
      <c r="E29" s="1"/>
      <c r="F29" s="1"/>
    </row>
    <row r="30" spans="1:6" x14ac:dyDescent="0.25">
      <c r="A30" s="1"/>
      <c r="B30" s="127"/>
      <c r="C30" s="128"/>
      <c r="D30" s="129"/>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sheetData>
  <sheetProtection algorithmName="SHA-512" hashValue="O7bu9zlh81JnL5lUMO5Hyqg0VgbPGDXSXs//j3r7V4EHMRHtmJheK4PtaCNJy0sFg3eTKrWxKAc77M6DoLht1A==" saltValue="R/lG39YR4GdnJpYuD/8+C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203</v>
      </c>
      <c r="C3" s="120"/>
      <c r="D3" s="120"/>
      <c r="E3" s="120"/>
      <c r="F3" s="120"/>
      <c r="G3" s="1"/>
    </row>
    <row r="4" spans="1:7" ht="15" customHeight="1" x14ac:dyDescent="0.25">
      <c r="A4" s="1"/>
      <c r="B4" s="120"/>
      <c r="C4" s="120"/>
      <c r="D4" s="120"/>
      <c r="E4" s="120"/>
      <c r="F4" s="120"/>
      <c r="G4" s="1"/>
    </row>
    <row r="5" spans="1:7" ht="15" customHeight="1" x14ac:dyDescent="0.25">
      <c r="A5" s="1"/>
      <c r="B5" s="78"/>
      <c r="C5" s="78"/>
      <c r="D5" s="78"/>
      <c r="E5" s="78"/>
      <c r="F5" s="78"/>
      <c r="G5" s="1"/>
    </row>
    <row r="6" spans="1:7" ht="15" customHeight="1" x14ac:dyDescent="0.25">
      <c r="A6" s="1"/>
      <c r="B6" s="78"/>
      <c r="C6" s="78"/>
      <c r="D6" s="78"/>
      <c r="E6" s="78"/>
      <c r="F6" s="78"/>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2" t="s">
        <v>204</v>
      </c>
      <c r="C9" s="133"/>
      <c r="D9" s="134"/>
      <c r="E9" s="9">
        <v>22306.129613980651</v>
      </c>
      <c r="F9" s="14" t="s">
        <v>3</v>
      </c>
      <c r="G9" s="1"/>
    </row>
    <row r="10" spans="1:7" x14ac:dyDescent="0.25">
      <c r="A10" s="1"/>
      <c r="B10" s="132" t="s">
        <v>263</v>
      </c>
      <c r="C10" s="133"/>
      <c r="D10" s="134"/>
      <c r="E10" s="9">
        <v>22306.129613980651</v>
      </c>
      <c r="F10" s="14" t="s">
        <v>3</v>
      </c>
      <c r="G10" s="1"/>
    </row>
    <row r="11" spans="1:7" x14ac:dyDescent="0.25">
      <c r="A11" s="1"/>
      <c r="B11" s="31"/>
      <c r="C11" s="26"/>
      <c r="D11" s="26"/>
      <c r="E11" s="26"/>
      <c r="F11" s="18"/>
      <c r="G11" s="1"/>
    </row>
    <row r="12" spans="1:7" ht="78.75" customHeight="1" x14ac:dyDescent="0.25">
      <c r="A12" s="1"/>
      <c r="B12" s="117" t="s">
        <v>287</v>
      </c>
      <c r="C12" s="118"/>
      <c r="D12" s="118"/>
      <c r="E12" s="118"/>
      <c r="F12" s="119"/>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2" t="s">
        <v>282</v>
      </c>
      <c r="C15" s="133"/>
      <c r="D15" s="134"/>
      <c r="E15" s="9">
        <v>0</v>
      </c>
      <c r="F15" s="14" t="s">
        <v>3</v>
      </c>
      <c r="G15" s="1"/>
    </row>
    <row r="16" spans="1:7" x14ac:dyDescent="0.25">
      <c r="A16" s="1"/>
      <c r="B16" s="132" t="s">
        <v>283</v>
      </c>
      <c r="C16" s="133"/>
      <c r="D16" s="134"/>
      <c r="E16" s="9">
        <v>0</v>
      </c>
      <c r="F16" s="14" t="s">
        <v>3</v>
      </c>
      <c r="G16" s="1"/>
    </row>
    <row r="17" spans="1:7" x14ac:dyDescent="0.25">
      <c r="A17" s="1"/>
      <c r="B17" s="31"/>
      <c r="C17" s="26"/>
      <c r="D17" s="26"/>
      <c r="E17" s="26"/>
      <c r="F17" s="18"/>
      <c r="G17" s="1"/>
    </row>
    <row r="18" spans="1:7" ht="31.5" customHeight="1" x14ac:dyDescent="0.25">
      <c r="A18" s="1"/>
      <c r="B18" s="117" t="s">
        <v>288</v>
      </c>
      <c r="C18" s="118"/>
      <c r="D18" s="118"/>
      <c r="E18" s="118"/>
      <c r="F18" s="119"/>
      <c r="G18" s="1"/>
    </row>
    <row r="19" spans="1:7" ht="28.5" customHeight="1" x14ac:dyDescent="0.25">
      <c r="A19" s="1"/>
      <c r="B19" s="1"/>
      <c r="C19" s="1"/>
      <c r="D19" s="1"/>
      <c r="E19" s="1"/>
      <c r="F19" s="1"/>
      <c r="G19" s="1"/>
    </row>
    <row r="20" spans="1:7" ht="28.5" customHeight="1" x14ac:dyDescent="0.25">
      <c r="A20" s="1"/>
      <c r="B20" s="82" t="s">
        <v>205</v>
      </c>
      <c r="C20" s="83"/>
      <c r="D20" s="83"/>
      <c r="E20" s="83"/>
      <c r="F20" s="84"/>
      <c r="G20" s="1"/>
    </row>
    <row r="21" spans="1:7" x14ac:dyDescent="0.25">
      <c r="A21" s="1"/>
      <c r="B21" s="87" t="s">
        <v>206</v>
      </c>
      <c r="C21" s="88"/>
      <c r="D21" s="89"/>
      <c r="E21" s="9">
        <v>70222691.446605057</v>
      </c>
      <c r="F21" s="14" t="s">
        <v>3</v>
      </c>
      <c r="G21" s="1"/>
    </row>
    <row r="22" spans="1:7" x14ac:dyDescent="0.25">
      <c r="A22" s="1"/>
      <c r="B22" s="87" t="s">
        <v>207</v>
      </c>
      <c r="C22" s="88"/>
      <c r="D22" s="89"/>
      <c r="E22" s="9">
        <v>72685599</v>
      </c>
      <c r="F22" s="14" t="s">
        <v>3</v>
      </c>
      <c r="G22" s="1"/>
    </row>
    <row r="23" spans="1:7" x14ac:dyDescent="0.25">
      <c r="A23" s="1"/>
      <c r="B23" s="87" t="s">
        <v>33</v>
      </c>
      <c r="C23" s="88"/>
      <c r="D23" s="89"/>
      <c r="E23" s="9">
        <v>0</v>
      </c>
      <c r="F23" s="14" t="s">
        <v>3</v>
      </c>
      <c r="G23" s="1"/>
    </row>
    <row r="24" spans="1:7" x14ac:dyDescent="0.25">
      <c r="A24" s="1"/>
      <c r="B24" s="85" t="s">
        <v>271</v>
      </c>
      <c r="C24" s="86"/>
      <c r="D24" s="92"/>
      <c r="E24" s="68">
        <f>E21-(E22-E23)</f>
        <v>-2462907.5533949435</v>
      </c>
      <c r="F24" s="17" t="s">
        <v>3</v>
      </c>
      <c r="G24" s="1"/>
    </row>
    <row r="25" spans="1:7" x14ac:dyDescent="0.25">
      <c r="A25" s="1"/>
      <c r="B25" s="31"/>
      <c r="C25" s="26"/>
      <c r="D25" s="26"/>
      <c r="E25" s="26"/>
      <c r="F25" s="18"/>
      <c r="G25" s="1"/>
    </row>
    <row r="26" spans="1:7" x14ac:dyDescent="0.25">
      <c r="A26" s="1"/>
      <c r="B26" s="1"/>
      <c r="C26" s="1"/>
      <c r="D26" s="1"/>
      <c r="E26" s="1"/>
      <c r="F26" s="1"/>
      <c r="G26" s="1"/>
    </row>
    <row r="27" spans="1:7" x14ac:dyDescent="0.25">
      <c r="A27" s="1"/>
      <c r="B27" s="127" t="s">
        <v>284</v>
      </c>
      <c r="C27" s="128"/>
      <c r="D27" s="128"/>
      <c r="E27" s="128"/>
      <c r="F27" s="129"/>
      <c r="G27" s="1"/>
    </row>
    <row r="28" spans="1:7" x14ac:dyDescent="0.25">
      <c r="A28" s="1"/>
      <c r="B28" s="130" t="s">
        <v>285</v>
      </c>
      <c r="C28" s="131"/>
      <c r="D28" s="154"/>
      <c r="E28" s="69">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1" t="s">
        <v>143</v>
      </c>
      <c r="C32" s="152"/>
      <c r="D32" s="153"/>
      <c r="E32" s="70">
        <f>IF(AND(E9&gt;0,(E9+E24)&gt;0),0,IF(AND(E9&gt;0,(E9+E24)&lt;0),(E9+E24),IF(AND(E9&lt;0,E24&lt;0),E24,0)))</f>
        <v>-2440601.4237809628</v>
      </c>
      <c r="F32" s="14" t="s">
        <v>3</v>
      </c>
      <c r="G32" s="1"/>
    </row>
    <row r="33" spans="1:7" x14ac:dyDescent="0.25">
      <c r="A33" s="1"/>
      <c r="B33" s="151" t="s">
        <v>102</v>
      </c>
      <c r="C33" s="152"/>
      <c r="D33" s="153"/>
      <c r="E33" s="9">
        <v>4</v>
      </c>
      <c r="F33" s="14" t="s">
        <v>20</v>
      </c>
      <c r="G33" s="1"/>
    </row>
    <row r="34" spans="1:7" x14ac:dyDescent="0.25">
      <c r="A34" s="1"/>
      <c r="B34" s="147" t="s">
        <v>144</v>
      </c>
      <c r="C34" s="147"/>
      <c r="D34" s="147"/>
      <c r="E34" s="69">
        <f>E32/E33</f>
        <v>-610150.35594524071</v>
      </c>
      <c r="F34" s="17" t="s">
        <v>3</v>
      </c>
      <c r="G34" s="1"/>
    </row>
    <row r="35" spans="1:7" x14ac:dyDescent="0.25">
      <c r="A35" s="1"/>
      <c r="B35" s="148"/>
      <c r="C35" s="149"/>
      <c r="D35" s="149"/>
      <c r="E35" s="149"/>
      <c r="F35" s="15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48"/>
      <c r="B39" s="48"/>
      <c r="C39" s="48"/>
      <c r="D39" s="48"/>
      <c r="E39" s="48"/>
      <c r="F39" s="48"/>
      <c r="G39" s="48"/>
    </row>
    <row r="40" spans="1:7" x14ac:dyDescent="0.25">
      <c r="A40" s="48"/>
      <c r="B40" s="48"/>
      <c r="C40" s="48"/>
      <c r="D40" s="48"/>
      <c r="E40" s="48"/>
      <c r="F40" s="48"/>
      <c r="G40" s="48"/>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YHD0d94+PMCfAzTJxZnQpUusuhdN2y5V53UN8DfEllLFxci5/M6jMOkWRWW1VqK+jgYhYXKOdtfbsL6lunH1ZQ==" saltValue="hEVleqo8Cl1LKDm+lHQmyg==" spinCount="100000" sheet="1" objects="1" scenarios="1"/>
  <mergeCells count="17">
    <mergeCell ref="B3:F4"/>
    <mergeCell ref="B8:F8"/>
    <mergeCell ref="B9:D9"/>
    <mergeCell ref="B10:D10"/>
    <mergeCell ref="B14:F14"/>
    <mergeCell ref="B12:F12"/>
    <mergeCell ref="B34:D34"/>
    <mergeCell ref="B35:F35"/>
    <mergeCell ref="B15:D15"/>
    <mergeCell ref="B16:D16"/>
    <mergeCell ref="B32:D32"/>
    <mergeCell ref="B29:F29"/>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5" t="s">
        <v>250</v>
      </c>
      <c r="C3" s="115"/>
      <c r="D3" s="115"/>
      <c r="E3" s="115"/>
      <c r="F3" s="115"/>
      <c r="G3" s="115"/>
      <c r="H3" s="115"/>
      <c r="I3" s="1"/>
    </row>
    <row r="4" spans="1:9" ht="15" customHeight="1" x14ac:dyDescent="0.25">
      <c r="A4" s="1"/>
      <c r="B4" s="115"/>
      <c r="C4" s="115"/>
      <c r="D4" s="115"/>
      <c r="E4" s="115"/>
      <c r="F4" s="115"/>
      <c r="G4" s="115"/>
      <c r="H4" s="11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5" t="s">
        <v>273</v>
      </c>
      <c r="C10" s="156"/>
      <c r="D10" s="156"/>
      <c r="E10" s="156"/>
      <c r="F10" s="157"/>
      <c r="G10" s="9">
        <v>0</v>
      </c>
      <c r="H10" s="9" t="s">
        <v>3</v>
      </c>
      <c r="I10" s="1"/>
    </row>
    <row r="11" spans="1:9" x14ac:dyDescent="0.25">
      <c r="A11" s="1"/>
      <c r="B11" s="155" t="s">
        <v>274</v>
      </c>
      <c r="C11" s="156"/>
      <c r="D11" s="156"/>
      <c r="E11" s="156"/>
      <c r="F11" s="157"/>
      <c r="G11" s="9">
        <v>0</v>
      </c>
      <c r="H11" s="9" t="s">
        <v>3</v>
      </c>
      <c r="I11" s="1"/>
    </row>
    <row r="12" spans="1:9" x14ac:dyDescent="0.25">
      <c r="A12" s="1"/>
      <c r="B12" s="155" t="s">
        <v>275</v>
      </c>
      <c r="C12" s="156"/>
      <c r="D12" s="156"/>
      <c r="E12" s="156"/>
      <c r="F12" s="157"/>
      <c r="G12" s="9">
        <v>0</v>
      </c>
      <c r="H12" s="9" t="s">
        <v>3</v>
      </c>
      <c r="I12" s="1"/>
    </row>
    <row r="13" spans="1:9" x14ac:dyDescent="0.25">
      <c r="A13" s="1"/>
      <c r="B13" s="155" t="s">
        <v>276</v>
      </c>
      <c r="C13" s="156"/>
      <c r="D13" s="156"/>
      <c r="E13" s="156"/>
      <c r="F13" s="157"/>
      <c r="G13" s="9">
        <v>0</v>
      </c>
      <c r="H13" s="9" t="s">
        <v>3</v>
      </c>
      <c r="I13" s="1"/>
    </row>
    <row r="14" spans="1:9" x14ac:dyDescent="0.25">
      <c r="A14" s="1"/>
      <c r="B14" s="155" t="s">
        <v>277</v>
      </c>
      <c r="C14" s="156"/>
      <c r="D14" s="156"/>
      <c r="E14" s="156"/>
      <c r="F14" s="157"/>
      <c r="G14" s="9">
        <v>0</v>
      </c>
      <c r="H14" s="9" t="s">
        <v>3</v>
      </c>
      <c r="I14" s="1"/>
    </row>
    <row r="15" spans="1:9" x14ac:dyDescent="0.25">
      <c r="A15" s="1"/>
      <c r="B15" s="155" t="s">
        <v>278</v>
      </c>
      <c r="C15" s="156"/>
      <c r="D15" s="156"/>
      <c r="E15" s="156"/>
      <c r="F15" s="157"/>
      <c r="G15" s="9">
        <v>0</v>
      </c>
      <c r="H15" s="9" t="s">
        <v>3</v>
      </c>
      <c r="I15" s="1"/>
    </row>
    <row r="16" spans="1:9" x14ac:dyDescent="0.25">
      <c r="A16" s="1"/>
      <c r="B16" s="155" t="s">
        <v>279</v>
      </c>
      <c r="C16" s="156"/>
      <c r="D16" s="156"/>
      <c r="E16" s="156"/>
      <c r="F16" s="157"/>
      <c r="G16" s="9">
        <v>0</v>
      </c>
      <c r="H16" s="9" t="s">
        <v>3</v>
      </c>
      <c r="I16" s="1"/>
    </row>
    <row r="17" spans="1:9" x14ac:dyDescent="0.25">
      <c r="A17" s="1"/>
      <c r="B17" s="155" t="s">
        <v>280</v>
      </c>
      <c r="C17" s="156"/>
      <c r="D17" s="156"/>
      <c r="E17" s="156"/>
      <c r="F17" s="157"/>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fyyZzBV8sLSrOEOO+bY389MBDcE5SVyAlkEReQ6PMwbivoA58br4S/yNZythh4loJG6WFxvjbzcccp4RHmdaoA==" saltValue="YwdjuDYjQSnlpsPXCr3Mmg=="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254</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17" t="s">
        <v>100</v>
      </c>
      <c r="C10" s="118"/>
      <c r="D10" s="119"/>
      <c r="E10" s="7">
        <v>0</v>
      </c>
      <c r="F10" s="8" t="s">
        <v>3</v>
      </c>
      <c r="G10" s="1"/>
    </row>
    <row r="11" spans="1:7" x14ac:dyDescent="0.25">
      <c r="A11" s="1"/>
      <c r="B11" s="132" t="s">
        <v>209</v>
      </c>
      <c r="C11" s="133"/>
      <c r="D11" s="134"/>
      <c r="E11" s="7">
        <v>0</v>
      </c>
      <c r="F11" s="8" t="s">
        <v>3</v>
      </c>
      <c r="G11" s="1"/>
    </row>
    <row r="12" spans="1:7" x14ac:dyDescent="0.25">
      <c r="A12" s="1"/>
      <c r="B12" s="130" t="s">
        <v>101</v>
      </c>
      <c r="C12" s="131"/>
      <c r="D12" s="154"/>
      <c r="E12" s="10">
        <f>E11-E10</f>
        <v>0</v>
      </c>
      <c r="F12" s="11" t="s">
        <v>3</v>
      </c>
      <c r="G12" s="1"/>
    </row>
    <row r="13" spans="1:7" x14ac:dyDescent="0.25">
      <c r="A13" s="1"/>
      <c r="B13" s="127" t="s">
        <v>94</v>
      </c>
      <c r="C13" s="128"/>
      <c r="D13" s="128"/>
      <c r="E13" s="128"/>
      <c r="F13" s="129"/>
      <c r="G13" s="1"/>
    </row>
    <row r="14" spans="1:7" x14ac:dyDescent="0.25">
      <c r="A14" s="1"/>
      <c r="B14" s="132" t="s">
        <v>210</v>
      </c>
      <c r="C14" s="133"/>
      <c r="D14" s="134"/>
      <c r="E14" s="9">
        <v>0</v>
      </c>
      <c r="F14" s="8" t="s">
        <v>3</v>
      </c>
      <c r="G14" s="1"/>
    </row>
    <row r="15" spans="1:7" x14ac:dyDescent="0.25">
      <c r="A15" s="1"/>
      <c r="B15" s="117" t="s">
        <v>211</v>
      </c>
      <c r="C15" s="118"/>
      <c r="D15" s="119"/>
      <c r="E15" s="9">
        <v>0</v>
      </c>
      <c r="F15" s="8" t="s">
        <v>3</v>
      </c>
      <c r="G15" s="1"/>
    </row>
    <row r="16" spans="1:7" x14ac:dyDescent="0.25">
      <c r="A16" s="1"/>
      <c r="B16" s="130" t="s">
        <v>101</v>
      </c>
      <c r="C16" s="131"/>
      <c r="D16" s="154"/>
      <c r="E16" s="10">
        <f>E15-E14</f>
        <v>0</v>
      </c>
      <c r="F16" s="11" t="s">
        <v>3</v>
      </c>
      <c r="G16" s="1"/>
    </row>
    <row r="17" spans="1:7" x14ac:dyDescent="0.25">
      <c r="A17" s="1"/>
      <c r="B17" s="31" t="s">
        <v>212</v>
      </c>
      <c r="C17" s="26"/>
      <c r="D17" s="26"/>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vnabQVBcvn1xtv7zFgyT+GzXtIlAdCb+1ntxb6N09jeqlpf+ZLs9rSqWD54oI4obUG/677qvGg+BidvCRRJfw==" saltValue="uDM/Re6sc2fDklke0bddo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5" t="s">
        <v>255</v>
      </c>
      <c r="C3" s="115"/>
      <c r="D3" s="115"/>
      <c r="E3" s="115"/>
      <c r="F3" s="115"/>
      <c r="G3" s="115"/>
      <c r="H3" s="115"/>
      <c r="I3" s="115"/>
      <c r="J3" s="115"/>
      <c r="K3" s="115"/>
      <c r="L3" s="1"/>
    </row>
    <row r="4" spans="1:12" ht="15" customHeight="1" x14ac:dyDescent="0.25">
      <c r="A4" s="1"/>
      <c r="B4" s="115"/>
      <c r="C4" s="115"/>
      <c r="D4" s="115"/>
      <c r="E4" s="115"/>
      <c r="F4" s="115"/>
      <c r="G4" s="115"/>
      <c r="H4" s="115"/>
      <c r="I4" s="115"/>
      <c r="J4" s="115"/>
      <c r="K4" s="11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54" t="s">
        <v>0</v>
      </c>
      <c r="C9" s="54" t="s">
        <v>1</v>
      </c>
      <c r="D9" s="158" t="s">
        <v>245</v>
      </c>
      <c r="E9" s="159"/>
      <c r="F9" s="158" t="s">
        <v>2</v>
      </c>
      <c r="G9" s="159"/>
      <c r="H9" s="158" t="s">
        <v>244</v>
      </c>
      <c r="I9" s="159"/>
      <c r="J9" s="158" t="s">
        <v>30</v>
      </c>
      <c r="K9" s="159"/>
      <c r="L9" s="1"/>
    </row>
    <row r="10" spans="1:12" x14ac:dyDescent="0.25">
      <c r="A10" s="1"/>
      <c r="B10" s="93" t="s">
        <v>281</v>
      </c>
      <c r="C10" s="40">
        <v>0</v>
      </c>
      <c r="D10" s="9">
        <v>0</v>
      </c>
      <c r="E10" s="14" t="s">
        <v>3</v>
      </c>
      <c r="F10" s="9">
        <f>IFERROR(D10/C10,0)</f>
        <v>0</v>
      </c>
      <c r="G10" s="14" t="s">
        <v>3</v>
      </c>
      <c r="H10" s="43">
        <v>0</v>
      </c>
      <c r="I10" s="14" t="s">
        <v>3</v>
      </c>
      <c r="J10" s="43">
        <v>0</v>
      </c>
      <c r="K10" s="14" t="s">
        <v>3</v>
      </c>
      <c r="L10" s="1"/>
    </row>
    <row r="11" spans="1:12" x14ac:dyDescent="0.25">
      <c r="A11" s="1"/>
      <c r="B11" s="82" t="s">
        <v>220</v>
      </c>
      <c r="C11" s="83"/>
      <c r="D11" s="84"/>
      <c r="E11" s="84"/>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CGXEM03i1sHLMHjaU6+7iS2IQKQohpdxBcW33sR9QvM0eCXwNQ/8eWNNuHyyQv4qq2Iz/pmUAUlEWB+UC05Vw==" saltValue="k/Dkwkf3b5cxQZaaj+zOW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256</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80</v>
      </c>
      <c r="C8" s="26"/>
      <c r="D8" s="26"/>
      <c r="E8" s="26"/>
      <c r="F8" s="18"/>
      <c r="G8" s="1"/>
    </row>
    <row r="9" spans="1:7" ht="17.25" customHeight="1" x14ac:dyDescent="0.25">
      <c r="A9" s="1"/>
      <c r="B9" s="80" t="s">
        <v>17</v>
      </c>
      <c r="C9" s="80" t="s">
        <v>11</v>
      </c>
      <c r="D9" s="81"/>
      <c r="E9" s="80" t="s">
        <v>31</v>
      </c>
      <c r="F9" s="30"/>
      <c r="G9" s="1"/>
    </row>
    <row r="10" spans="1:7" x14ac:dyDescent="0.25">
      <c r="A10" s="1"/>
      <c r="B10" s="22" t="s">
        <v>226</v>
      </c>
      <c r="C10" s="20">
        <f>'Fane 10. Anlægsprojekter (§ 19)'!H11</f>
        <v>0</v>
      </c>
      <c r="D10" s="14" t="s">
        <v>3</v>
      </c>
      <c r="E10" s="9">
        <f>SUM('Fane 10. Anlægsprojekter (§ 19)'!F11,'Fane 10. Anlægsprojekter (§ 19)'!J11)</f>
        <v>0</v>
      </c>
      <c r="F10" s="14" t="s">
        <v>3</v>
      </c>
      <c r="G10" s="1"/>
    </row>
    <row r="11" spans="1:7" x14ac:dyDescent="0.25">
      <c r="A11" s="1"/>
      <c r="B11" s="22" t="s">
        <v>268</v>
      </c>
      <c r="C11" s="20">
        <v>1339102</v>
      </c>
      <c r="D11" s="14" t="s">
        <v>3</v>
      </c>
      <c r="E11" s="9">
        <v>271155</v>
      </c>
      <c r="F11" s="14" t="s">
        <v>3</v>
      </c>
      <c r="G11" s="1"/>
    </row>
    <row r="12" spans="1:7" x14ac:dyDescent="0.25">
      <c r="A12" s="1"/>
      <c r="B12" s="22" t="s">
        <v>269</v>
      </c>
      <c r="C12" s="20">
        <v>40386</v>
      </c>
      <c r="D12" s="14" t="s">
        <v>3</v>
      </c>
      <c r="E12" s="9">
        <v>68202</v>
      </c>
      <c r="F12" s="14" t="s">
        <v>3</v>
      </c>
      <c r="G12" s="1"/>
    </row>
    <row r="13" spans="1:7" x14ac:dyDescent="0.25">
      <c r="A13" s="1"/>
      <c r="B13" s="22" t="s">
        <v>270</v>
      </c>
      <c r="C13" s="20">
        <v>30437</v>
      </c>
      <c r="D13" s="14" t="s">
        <v>3</v>
      </c>
      <c r="E13" s="9">
        <v>0</v>
      </c>
      <c r="F13" s="14" t="s">
        <v>3</v>
      </c>
      <c r="G13" s="1"/>
    </row>
    <row r="14" spans="1:7" x14ac:dyDescent="0.25">
      <c r="A14" s="1"/>
      <c r="B14" s="31" t="s">
        <v>156</v>
      </c>
      <c r="C14" s="12">
        <f>SUM(C10:C13)</f>
        <v>1409925</v>
      </c>
      <c r="D14" s="13" t="s">
        <v>3</v>
      </c>
      <c r="E14" s="12">
        <f>SUM(E10:E13)</f>
        <v>339357</v>
      </c>
      <c r="F14" s="13" t="s">
        <v>3</v>
      </c>
      <c r="G14" s="1"/>
    </row>
    <row r="15" spans="1:7" x14ac:dyDescent="0.25">
      <c r="A15" s="1"/>
      <c r="B15" s="31" t="s">
        <v>213</v>
      </c>
      <c r="C15" s="12">
        <f>C14*(1+'Fane 15. Nøgletal'!C15)</f>
        <v>1460118.33</v>
      </c>
      <c r="D15" s="13" t="s">
        <v>3</v>
      </c>
      <c r="E15" s="12">
        <f>E14*(1+'Fane 15. Nøgletal'!C15)</f>
        <v>351438.10920000001</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8"/>
      <c r="B51" s="48"/>
      <c r="C51" s="48"/>
      <c r="D51" s="48"/>
      <c r="E51" s="48"/>
      <c r="F51" s="48"/>
      <c r="G51" s="48"/>
    </row>
  </sheetData>
  <sheetProtection algorithmName="SHA-512" hashValue="vMzQHqrCZHX2kuEMYchYTofssOk5YCWHZwWHUeklBwHPVI/UrzcvU+t1l2zAW6WBj0tT85ctz/1Ohrn15UPMkA==" saltValue="zqKnNxm4y0lRV358c01rR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257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0" t="s">
        <v>17</v>
      </c>
      <c r="C9" s="80" t="s">
        <v>11</v>
      </c>
      <c r="D9" s="81"/>
      <c r="E9" s="80" t="s">
        <v>31</v>
      </c>
      <c r="F9" s="30"/>
      <c r="G9" s="1"/>
    </row>
    <row r="10" spans="1:7" x14ac:dyDescent="0.25">
      <c r="A10" s="1"/>
      <c r="B10" s="22" t="s">
        <v>270</v>
      </c>
      <c r="C10" s="20">
        <v>304367</v>
      </c>
      <c r="D10" s="14" t="s">
        <v>3</v>
      </c>
      <c r="E10" s="9">
        <v>0</v>
      </c>
      <c r="F10" s="14" t="s">
        <v>3</v>
      </c>
      <c r="G10" s="1"/>
    </row>
    <row r="11" spans="1:7" x14ac:dyDescent="0.25">
      <c r="A11" s="1"/>
      <c r="B11" s="31" t="s">
        <v>232</v>
      </c>
      <c r="C11" s="12">
        <f>SUM(C10:C10)</f>
        <v>304367</v>
      </c>
      <c r="D11" s="13" t="s">
        <v>3</v>
      </c>
      <c r="E11" s="12">
        <f>SUM(E10:E10)</f>
        <v>0</v>
      </c>
      <c r="F11" s="13" t="s">
        <v>3</v>
      </c>
      <c r="G11" s="1"/>
    </row>
    <row r="12" spans="1:7" x14ac:dyDescent="0.25">
      <c r="A12" s="1"/>
      <c r="B12" s="31" t="s">
        <v>136</v>
      </c>
      <c r="C12" s="12">
        <f>C11*(1+'Fane 15. Nøgletal'!C15)^2</f>
        <v>326423.67296112003</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0"/>
      <c r="C21" s="160"/>
      <c r="D21" s="160"/>
      <c r="E21" s="160"/>
      <c r="F21" s="160"/>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0"/>
      <c r="C28" s="160"/>
      <c r="D28" s="160"/>
      <c r="E28" s="160"/>
      <c r="F28" s="160"/>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cbRAhzcn+CR6ITVdXn+obB+dLb8900cEal+KK0StGSH10x+jKGpxDOrK/sYh4DwvzdWrd9G5Ftca/Elq0dcOzA==" saltValue="64jaEprIFox0V0P5Wlf4b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258</v>
      </c>
      <c r="C3" s="120"/>
      <c r="D3" s="120"/>
      <c r="E3" s="120"/>
      <c r="F3" s="120"/>
      <c r="G3" s="1"/>
    </row>
    <row r="4" spans="1:7" ht="15" customHeight="1" x14ac:dyDescent="0.25">
      <c r="A4" s="1"/>
      <c r="B4" s="120"/>
      <c r="C4" s="120"/>
      <c r="D4" s="120"/>
      <c r="E4" s="120"/>
      <c r="F4" s="120"/>
      <c r="G4" s="1"/>
    </row>
    <row r="5" spans="1:7" x14ac:dyDescent="0.25">
      <c r="A5" s="1"/>
      <c r="B5" s="120"/>
      <c r="C5" s="120"/>
      <c r="D5" s="120"/>
      <c r="E5" s="120"/>
      <c r="F5" s="12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5" t="s">
        <v>224</v>
      </c>
      <c r="C10" s="156"/>
      <c r="D10" s="157"/>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5" t="s">
        <v>224</v>
      </c>
      <c r="C16" s="156"/>
      <c r="D16" s="157"/>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5" t="s">
        <v>224</v>
      </c>
      <c r="C22" s="156"/>
      <c r="D22" s="157"/>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5" t="s">
        <v>224</v>
      </c>
      <c r="C28" s="156"/>
      <c r="D28" s="157"/>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1unCZ2fxl4UPCmRK8tojBTtosUV1izV9nfntWOzUgN8oLZsDwFLz73MQOYqHkeJuQ4Jpxg/812LmAwkBs2ppw==" saltValue="ZdxqF2WmTwYvck7Q65wv8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 style="2" customWidth="1"/>
    <col min="2" max="2" width="41.5703125" style="2" customWidth="1"/>
    <col min="3" max="3" width="15.5703125" style="2" customWidth="1"/>
    <col min="4" max="4" width="3.28515625" style="2" customWidth="1"/>
    <col min="5" max="5" width="17.140625" style="2" customWidth="1"/>
    <col min="6" max="6" width="3.28515625" style="2" customWidth="1"/>
    <col min="7" max="7" width="1.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259</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29" t="s">
        <v>133</v>
      </c>
      <c r="C9" s="29" t="s">
        <v>11</v>
      </c>
      <c r="D9" s="30"/>
      <c r="E9" s="29" t="s">
        <v>31</v>
      </c>
      <c r="F9" s="30"/>
      <c r="G9" s="1"/>
    </row>
    <row r="10" spans="1:7" x14ac:dyDescent="0.25">
      <c r="A10" s="1"/>
      <c r="B10" s="22" t="s">
        <v>272</v>
      </c>
      <c r="C10" s="9">
        <v>0</v>
      </c>
      <c r="D10" s="14" t="s">
        <v>3</v>
      </c>
      <c r="E10" s="9">
        <v>0</v>
      </c>
      <c r="F10" s="14" t="s">
        <v>3</v>
      </c>
      <c r="G10" s="1"/>
    </row>
    <row r="11" spans="1:7" ht="28.5" customHeight="1" x14ac:dyDescent="0.25">
      <c r="A11" s="1"/>
      <c r="B11" s="19" t="s">
        <v>159</v>
      </c>
      <c r="C11" s="12">
        <f>SUM(C10:C10)</f>
        <v>0</v>
      </c>
      <c r="D11" s="13" t="s">
        <v>3</v>
      </c>
      <c r="E11" s="12">
        <f>SUM(E10:E10)</f>
        <v>0</v>
      </c>
      <c r="F11" s="13" t="s">
        <v>3</v>
      </c>
      <c r="G11" s="1"/>
    </row>
    <row r="12" spans="1:7" ht="27" customHeight="1" x14ac:dyDescent="0.25">
      <c r="A12" s="1"/>
      <c r="B12" s="19"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S/GagRc6qqwWHWh4CXj3QK3cZxH4oFMc1Xuce5IdM/KkK1YzABXk1MK1ECTGJjmyOwP+V8UXmnavHoIlc1+OA==" saltValue="ZAmHXwtKHVx9oPX/XTo14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260</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29" t="s">
        <v>18</v>
      </c>
      <c r="C10" s="29" t="s">
        <v>11</v>
      </c>
      <c r="D10" s="30"/>
      <c r="E10" s="29" t="s">
        <v>31</v>
      </c>
      <c r="F10" s="30"/>
      <c r="G10" s="1"/>
    </row>
    <row r="11" spans="1:7" x14ac:dyDescent="0.25">
      <c r="A11" s="1"/>
      <c r="B11" s="22" t="s">
        <v>177</v>
      </c>
      <c r="C11" s="9">
        <v>0</v>
      </c>
      <c r="D11" s="14" t="s">
        <v>3</v>
      </c>
      <c r="E11" s="9">
        <v>0</v>
      </c>
      <c r="F11" s="14" t="s">
        <v>3</v>
      </c>
      <c r="G11" s="1"/>
    </row>
    <row r="12" spans="1:7" x14ac:dyDescent="0.25">
      <c r="A12" s="1"/>
      <c r="B12" s="31" t="s">
        <v>234</v>
      </c>
      <c r="C12" s="12">
        <f>SUM(C11:C11)</f>
        <v>0</v>
      </c>
      <c r="D12" s="13" t="s">
        <v>3</v>
      </c>
      <c r="E12" s="12">
        <f>SUM(E11:E11)</f>
        <v>0</v>
      </c>
      <c r="F12" s="13" t="s">
        <v>3</v>
      </c>
      <c r="G12" s="1"/>
    </row>
    <row r="13" spans="1:7" x14ac:dyDescent="0.25">
      <c r="A13" s="1"/>
      <c r="B13" s="31"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0"/>
      <c r="C21" s="160"/>
      <c r="D21" s="160"/>
      <c r="E21" s="160"/>
      <c r="F21" s="160"/>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0"/>
      <c r="C27" s="160"/>
      <c r="D27" s="160"/>
      <c r="E27" s="160"/>
      <c r="F27" s="160"/>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7uVwMOihM5Jwu9JjGgbHmA25tiEMOPUZhJISaCx6CX1/ojb61L5xfMlfvWjZDtUpR40S2WTOQSAXvBu1Z+19Cg==" saltValue="WshLYGmL5tU7keP1wuH+V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181</v>
      </c>
      <c r="C3" s="115"/>
      <c r="D3" s="115"/>
      <c r="E3" s="1"/>
    </row>
    <row r="4" spans="1:5" ht="15" customHeight="1"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x14ac:dyDescent="0.25">
      <c r="A9" s="1"/>
      <c r="B9" s="27" t="s">
        <v>126</v>
      </c>
      <c r="C9" s="7">
        <f>'Fane 3. Omkostninger i ØR2022'!E20</f>
        <v>47046522.665909402</v>
      </c>
      <c r="D9" s="8" t="s">
        <v>3</v>
      </c>
      <c r="E9" s="1"/>
    </row>
    <row r="10" spans="1:5" ht="17.25" customHeight="1" x14ac:dyDescent="0.25">
      <c r="A10" s="1"/>
      <c r="B10" s="79" t="s">
        <v>39</v>
      </c>
      <c r="C10" s="7">
        <f>'Fane 11.1. Varige tillæg'!C15</f>
        <v>1460118.33</v>
      </c>
      <c r="D10" s="8" t="s">
        <v>3</v>
      </c>
      <c r="E10" s="1"/>
    </row>
    <row r="11" spans="1:5" ht="17.25" customHeight="1" x14ac:dyDescent="0.25">
      <c r="A11" s="1"/>
      <c r="B11" s="79" t="s">
        <v>40</v>
      </c>
      <c r="C11" s="9">
        <f>'Fane 11.1. Varige tillæg'!E15</f>
        <v>351438.10920000001</v>
      </c>
      <c r="D11" s="8" t="s">
        <v>3</v>
      </c>
      <c r="E11" s="1"/>
    </row>
    <row r="12" spans="1:5" ht="17.25" customHeight="1" x14ac:dyDescent="0.25">
      <c r="A12" s="1"/>
      <c r="B12" s="79" t="s">
        <v>27</v>
      </c>
      <c r="C12" s="9">
        <f>-'Fane 14. Bortfald'!C13</f>
        <v>0</v>
      </c>
      <c r="D12" s="8" t="s">
        <v>3</v>
      </c>
      <c r="E12" s="1"/>
    </row>
    <row r="13" spans="1:5" ht="17.25" customHeight="1" x14ac:dyDescent="0.25">
      <c r="A13" s="1"/>
      <c r="B13" s="79" t="s">
        <v>26</v>
      </c>
      <c r="C13" s="9">
        <f>-'Fane 14. Bortfald'!E13</f>
        <v>0</v>
      </c>
      <c r="D13" s="8" t="s">
        <v>3</v>
      </c>
      <c r="E13" s="1"/>
    </row>
    <row r="14" spans="1:5" ht="17.25" customHeight="1" x14ac:dyDescent="0.25">
      <c r="A14" s="1"/>
      <c r="B14" s="79" t="s">
        <v>124</v>
      </c>
      <c r="C14" s="9">
        <f>'Fane 13. Tilknyttet virksomhed'!C12</f>
        <v>0</v>
      </c>
      <c r="D14" s="8" t="s">
        <v>3</v>
      </c>
      <c r="E14" s="1"/>
    </row>
    <row r="15" spans="1:5" ht="17.25" customHeight="1" x14ac:dyDescent="0.25">
      <c r="A15" s="1"/>
      <c r="B15" s="79" t="s">
        <v>125</v>
      </c>
      <c r="C15" s="9">
        <f>'Fane 13. Tilknyttet virksomhed'!E12</f>
        <v>0</v>
      </c>
      <c r="D15" s="8" t="s">
        <v>3</v>
      </c>
      <c r="E15" s="1"/>
    </row>
    <row r="16" spans="1:5" ht="17.25" customHeight="1" x14ac:dyDescent="0.25">
      <c r="A16" s="1"/>
      <c r="B16" s="79" t="s">
        <v>19</v>
      </c>
      <c r="C16" s="43">
        <f>SUM(C9)*'Fane 15. Nøgletal'!C14+SUM(C10:C15)*'Fane 15. Nøgletal'!C15</f>
        <v>219744.93403302101</v>
      </c>
      <c r="D16" s="8" t="s">
        <v>3</v>
      </c>
      <c r="E16" s="1"/>
    </row>
    <row r="17" spans="1:5" ht="17.25" customHeight="1" x14ac:dyDescent="0.25">
      <c r="A17" s="1"/>
      <c r="B17" s="79" t="s">
        <v>10</v>
      </c>
      <c r="C17" s="43">
        <f>-SUM(C9,C10:C16)*'Fane 5. Individuelt eff. krav'!G9</f>
        <v>-966756.56145753886</v>
      </c>
      <c r="D17" s="8" t="s">
        <v>3</v>
      </c>
      <c r="E17" s="1"/>
    </row>
    <row r="18" spans="1:5" ht="17.25" customHeight="1" x14ac:dyDescent="0.25">
      <c r="A18" s="1"/>
      <c r="B18" s="79" t="s">
        <v>24</v>
      </c>
      <c r="C18" s="43">
        <f>-'Fane 4.1. Gen. krav - drift'!G45</f>
        <v>-287255.54257803003</v>
      </c>
      <c r="D18" s="8" t="s">
        <v>3</v>
      </c>
      <c r="E18" s="1"/>
    </row>
    <row r="19" spans="1:5" ht="17.25" customHeight="1" x14ac:dyDescent="0.25">
      <c r="A19" s="1"/>
      <c r="B19" s="79" t="s">
        <v>25</v>
      </c>
      <c r="C19" s="43">
        <f>-'Fane 4.2. Gen. krav - anlæg'!G43</f>
        <v>-527636.56064849766</v>
      </c>
      <c r="D19" s="8" t="s">
        <v>3</v>
      </c>
      <c r="E19" s="47"/>
    </row>
    <row r="20" spans="1:5" ht="17.25" customHeight="1" x14ac:dyDescent="0.25">
      <c r="A20" s="1"/>
      <c r="B20" s="85" t="s">
        <v>21</v>
      </c>
      <c r="C20" s="10">
        <f>SUM(C9:C19)</f>
        <v>47296175.374458358</v>
      </c>
      <c r="D20" s="11" t="s">
        <v>3</v>
      </c>
      <c r="E20" s="1"/>
    </row>
    <row r="21" spans="1:5" ht="15" customHeight="1" x14ac:dyDescent="0.25">
      <c r="A21" s="1"/>
      <c r="B21" s="31" t="s">
        <v>12</v>
      </c>
      <c r="C21" s="26"/>
      <c r="D21" s="18"/>
      <c r="E21" s="1"/>
    </row>
    <row r="22" spans="1:5" ht="15" customHeight="1" x14ac:dyDescent="0.25">
      <c r="A22" s="1"/>
      <c r="B22" s="29" t="s">
        <v>12</v>
      </c>
      <c r="C22" s="10">
        <f>'Fane 6. Ikke-påvirkelige omk.'!C14+'Fane 6. Ikke-påvirkelige omk.'!C18+'Fane 6. Ikke-påvirkelige omk.'!C26</f>
        <v>25876807.453953121</v>
      </c>
      <c r="D22" s="11" t="s">
        <v>3</v>
      </c>
      <c r="E22" s="1"/>
    </row>
    <row r="23" spans="1:5" ht="15" customHeight="1" x14ac:dyDescent="0.25">
      <c r="A23" s="1"/>
      <c r="B23" s="31" t="s">
        <v>86</v>
      </c>
      <c r="C23" s="26"/>
      <c r="D23" s="18"/>
      <c r="E23" s="1"/>
    </row>
    <row r="24" spans="1:5" ht="15" customHeight="1" x14ac:dyDescent="0.25">
      <c r="A24" s="1"/>
      <c r="B24" s="85" t="s">
        <v>86</v>
      </c>
      <c r="C24" s="10">
        <f>'Fane 12. Periodevise driftsomk.'!E13</f>
        <v>0</v>
      </c>
      <c r="D24" s="11" t="s">
        <v>3</v>
      </c>
      <c r="E24" s="1"/>
    </row>
    <row r="25" spans="1:5" ht="15" customHeight="1" x14ac:dyDescent="0.25">
      <c r="A25" s="1"/>
      <c r="B25" s="46" t="s">
        <v>85</v>
      </c>
      <c r="C25" s="44"/>
      <c r="D25" s="45"/>
      <c r="E25" s="1"/>
    </row>
    <row r="26" spans="1:5" ht="15" customHeight="1" x14ac:dyDescent="0.25">
      <c r="A26" s="1"/>
      <c r="B26" s="79" t="s">
        <v>231</v>
      </c>
      <c r="C26" s="71">
        <f>'Fane 11.2. Engangstillæg'!C12</f>
        <v>326423.67296112003</v>
      </c>
      <c r="D26" s="8" t="s">
        <v>3</v>
      </c>
      <c r="E26" s="1"/>
    </row>
    <row r="27" spans="1:5" ht="15" customHeight="1" x14ac:dyDescent="0.25">
      <c r="A27" s="1"/>
      <c r="B27" s="79" t="s">
        <v>82</v>
      </c>
      <c r="C27" s="71">
        <f>'Fane 11.2. Engangstillæg'!E12</f>
        <v>0</v>
      </c>
      <c r="D27" s="8" t="s">
        <v>3</v>
      </c>
      <c r="E27" s="1"/>
    </row>
    <row r="28" spans="1:5" ht="15" customHeight="1" x14ac:dyDescent="0.25">
      <c r="A28" s="1"/>
      <c r="B28" s="79" t="s">
        <v>238</v>
      </c>
      <c r="C28" s="71">
        <f>-C26*('Fane 15. Nøgletal'!C31+'Fane 5. Individuelt eff. krav'!G9)</f>
        <v>-12958.510524405758</v>
      </c>
      <c r="D28" s="8" t="s">
        <v>3</v>
      </c>
      <c r="E28" s="1"/>
    </row>
    <row r="29" spans="1:5" ht="15" customHeight="1" x14ac:dyDescent="0.25">
      <c r="A29" s="1"/>
      <c r="B29" s="79" t="s">
        <v>239</v>
      </c>
      <c r="C29" s="71">
        <f>-C27*('Fane 15. Nøgletal'!C26+'Fane 5. Individuelt eff. krav'!G9)</f>
        <v>0</v>
      </c>
      <c r="D29" s="8" t="s">
        <v>3</v>
      </c>
      <c r="E29" s="1"/>
    </row>
    <row r="30" spans="1:5" ht="15" customHeight="1" x14ac:dyDescent="0.25">
      <c r="A30" s="1"/>
      <c r="B30" s="91" t="s">
        <v>87</v>
      </c>
      <c r="C30" s="10">
        <f>SUM(C26:C29)</f>
        <v>313465.16243671428</v>
      </c>
      <c r="D30" s="11" t="s">
        <v>3</v>
      </c>
      <c r="E30" s="1"/>
    </row>
    <row r="31" spans="1:5" x14ac:dyDescent="0.25">
      <c r="A31" s="1"/>
      <c r="B31" s="31" t="s">
        <v>143</v>
      </c>
      <c r="C31" s="26"/>
      <c r="D31" s="18"/>
      <c r="E31" s="1"/>
    </row>
    <row r="32" spans="1:5" x14ac:dyDescent="0.25">
      <c r="A32" s="1"/>
      <c r="B32" s="29" t="s">
        <v>180</v>
      </c>
      <c r="C32" s="10">
        <f>'Fane 7. Kontrol af ØR2021'!E28</f>
        <v>0</v>
      </c>
      <c r="D32" s="11" t="s">
        <v>3</v>
      </c>
      <c r="E32" s="1"/>
    </row>
    <row r="33" spans="1:5" ht="15" customHeight="1" x14ac:dyDescent="0.25">
      <c r="A33" s="1"/>
      <c r="B33" s="31" t="s">
        <v>185</v>
      </c>
      <c r="C33" s="26"/>
      <c r="D33" s="18"/>
      <c r="E33" s="1"/>
    </row>
    <row r="34" spans="1:5" x14ac:dyDescent="0.25">
      <c r="A34" s="1"/>
      <c r="B34" s="29" t="s">
        <v>185</v>
      </c>
      <c r="C34" s="10">
        <f>'Fane 9. Korrektion af ØR2021'!E17</f>
        <v>0</v>
      </c>
      <c r="D34" s="11" t="s">
        <v>3</v>
      </c>
      <c r="E34" s="1"/>
    </row>
    <row r="35" spans="1:5" x14ac:dyDescent="0.25">
      <c r="A35" s="1"/>
      <c r="B35" s="28" t="s">
        <v>175</v>
      </c>
      <c r="C35" s="26"/>
      <c r="D35" s="18"/>
      <c r="E35" s="1"/>
    </row>
    <row r="36" spans="1:5" x14ac:dyDescent="0.25">
      <c r="A36" s="1"/>
      <c r="B36" s="91" t="s">
        <v>176</v>
      </c>
      <c r="C36" s="10">
        <f>'Fane 8. Skattesagen'!G12</f>
        <v>0</v>
      </c>
      <c r="D36" s="11" t="s">
        <v>3</v>
      </c>
      <c r="E36" s="1"/>
    </row>
    <row r="37" spans="1:5" x14ac:dyDescent="0.25">
      <c r="A37" s="1"/>
      <c r="B37" s="31" t="s">
        <v>90</v>
      </c>
      <c r="C37" s="53">
        <f>SUM(C34,C32,C24,C30,C22,C20,C36)</f>
        <v>73486447.990848184</v>
      </c>
      <c r="D37" s="28"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1G26+8ItHeegCRABuUvyi6ZPJgIwx/RXcsZO3MUwOZssZulcS7xIlN4x3RiVFprYbDaFDH2d7hTh2MozltcfIQ==" saltValue="wus2GLxdM/cKSZir5UfRF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0" t="s">
        <v>261</v>
      </c>
      <c r="C3" s="120"/>
      <c r="D3" s="1"/>
    </row>
    <row r="4" spans="1:4" ht="25.5" customHeight="1" x14ac:dyDescent="0.25">
      <c r="A4" s="1"/>
      <c r="B4" s="120"/>
      <c r="C4" s="12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1" t="s">
        <v>14</v>
      </c>
      <c r="C8" s="18"/>
      <c r="D8" s="1"/>
    </row>
    <row r="9" spans="1:4" x14ac:dyDescent="0.25">
      <c r="A9" s="1"/>
      <c r="B9" s="90" t="s">
        <v>112</v>
      </c>
      <c r="C9" s="23">
        <v>1.2699999999999999E-2</v>
      </c>
      <c r="D9" s="1"/>
    </row>
    <row r="10" spans="1:4" x14ac:dyDescent="0.25">
      <c r="A10" s="1"/>
      <c r="B10" s="90" t="s">
        <v>113</v>
      </c>
      <c r="C10" s="23">
        <v>1.7500000000000002E-2</v>
      </c>
      <c r="D10" s="1"/>
    </row>
    <row r="11" spans="1:4" x14ac:dyDescent="0.25">
      <c r="A11" s="1"/>
      <c r="B11" s="90" t="s">
        <v>23</v>
      </c>
      <c r="C11" s="23">
        <v>1.6899999999999998E-2</v>
      </c>
      <c r="D11" s="1"/>
    </row>
    <row r="12" spans="1:4" x14ac:dyDescent="0.25">
      <c r="A12" s="1"/>
      <c r="B12" s="32" t="s">
        <v>172</v>
      </c>
      <c r="C12" s="33">
        <v>1.9699999999999999E-2</v>
      </c>
      <c r="D12" s="1"/>
    </row>
    <row r="13" spans="1:4" x14ac:dyDescent="0.25">
      <c r="A13" s="1"/>
      <c r="B13" s="32" t="s">
        <v>135</v>
      </c>
      <c r="C13" s="33">
        <v>1.2200000000000001E-2</v>
      </c>
      <c r="D13" s="1"/>
    </row>
    <row r="14" spans="1:4" x14ac:dyDescent="0.25">
      <c r="A14" s="1"/>
      <c r="B14" s="90" t="s">
        <v>171</v>
      </c>
      <c r="C14" s="41">
        <v>3.3E-3</v>
      </c>
      <c r="D14" s="1"/>
    </row>
    <row r="15" spans="1:4" x14ac:dyDescent="0.25">
      <c r="A15" s="1"/>
      <c r="B15" s="32" t="s">
        <v>223</v>
      </c>
      <c r="C15" s="66">
        <v>3.56E-2</v>
      </c>
      <c r="D15" s="1"/>
    </row>
    <row r="16" spans="1:4" x14ac:dyDescent="0.25">
      <c r="A16" s="1"/>
      <c r="B16" s="31"/>
      <c r="C16" s="18"/>
      <c r="D16" s="1"/>
    </row>
    <row r="17" spans="1:4" x14ac:dyDescent="0.25">
      <c r="A17" s="1"/>
      <c r="B17" s="1"/>
      <c r="C17" s="1"/>
      <c r="D17" s="1"/>
    </row>
    <row r="18" spans="1:4" x14ac:dyDescent="0.25">
      <c r="A18" s="1"/>
      <c r="B18" s="1"/>
      <c r="C18" s="1"/>
      <c r="D18" s="1"/>
    </row>
    <row r="19" spans="1:4" x14ac:dyDescent="0.25">
      <c r="A19" s="1"/>
      <c r="B19" s="31" t="s">
        <v>103</v>
      </c>
      <c r="C19" s="18"/>
      <c r="D19" s="1"/>
    </row>
    <row r="20" spans="1:4" x14ac:dyDescent="0.25">
      <c r="A20" s="1"/>
      <c r="B20" s="90" t="s">
        <v>114</v>
      </c>
      <c r="C20" s="21">
        <v>9.1000000000000004E-3</v>
      </c>
      <c r="D20" s="1"/>
    </row>
    <row r="21" spans="1:4" x14ac:dyDescent="0.25">
      <c r="A21" s="1"/>
      <c r="B21" s="90" t="s">
        <v>145</v>
      </c>
      <c r="C21" s="21">
        <v>1.77E-2</v>
      </c>
      <c r="D21" s="1"/>
    </row>
    <row r="22" spans="1:4" x14ac:dyDescent="0.25">
      <c r="A22" s="1"/>
      <c r="B22" s="90" t="s">
        <v>146</v>
      </c>
      <c r="C22" s="21">
        <v>8.6999999999999994E-3</v>
      </c>
      <c r="D22" s="1"/>
    </row>
    <row r="23" spans="1:4" x14ac:dyDescent="0.25">
      <c r="A23" s="1"/>
      <c r="B23" s="90" t="s">
        <v>115</v>
      </c>
      <c r="C23" s="34">
        <v>2.8400000000000002E-2</v>
      </c>
      <c r="D23" s="1"/>
    </row>
    <row r="24" spans="1:4" x14ac:dyDescent="0.25">
      <c r="A24" s="1"/>
      <c r="B24" s="90" t="s">
        <v>147</v>
      </c>
      <c r="C24" s="34">
        <v>2.75E-2</v>
      </c>
      <c r="D24" s="1"/>
    </row>
    <row r="25" spans="1:4" x14ac:dyDescent="0.25">
      <c r="A25" s="1"/>
      <c r="B25" s="90" t="s">
        <v>148</v>
      </c>
      <c r="C25" s="34">
        <v>1.4800000000000001E-2</v>
      </c>
      <c r="D25" s="1"/>
    </row>
    <row r="26" spans="1:4" x14ac:dyDescent="0.25">
      <c r="A26" s="1"/>
      <c r="B26" s="32" t="s">
        <v>216</v>
      </c>
      <c r="C26" s="67">
        <v>0</v>
      </c>
      <c r="D26" s="1"/>
    </row>
    <row r="27" spans="1:4" x14ac:dyDescent="0.25">
      <c r="A27" s="1"/>
      <c r="B27" s="31"/>
      <c r="C27" s="18"/>
      <c r="D27" s="1"/>
    </row>
    <row r="28" spans="1:4" x14ac:dyDescent="0.25">
      <c r="A28" s="1"/>
      <c r="B28" s="1"/>
      <c r="C28" s="1"/>
      <c r="D28" s="1"/>
    </row>
    <row r="29" spans="1:4" x14ac:dyDescent="0.25">
      <c r="A29" s="1"/>
      <c r="B29" s="1"/>
      <c r="C29" s="1"/>
      <c r="D29" s="1"/>
    </row>
    <row r="30" spans="1:4" x14ac:dyDescent="0.25">
      <c r="A30" s="1"/>
      <c r="B30" s="31" t="s">
        <v>104</v>
      </c>
      <c r="C30" s="18"/>
      <c r="D30" s="1"/>
    </row>
    <row r="31" spans="1:4" x14ac:dyDescent="0.25">
      <c r="A31" s="1"/>
      <c r="B31" s="90" t="s">
        <v>116</v>
      </c>
      <c r="C31" s="23">
        <v>0.02</v>
      </c>
      <c r="D31" s="1"/>
    </row>
    <row r="32" spans="1:4" x14ac:dyDescent="0.25">
      <c r="A32" s="1"/>
      <c r="B32" s="31"/>
      <c r="C32" s="18"/>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FjNFCH6MfM7tUeB2Fkq7VYFkOy+IY46912tXAYvop9Y1pMzL9KmbgCofp6PbcQc40x2ECWbu6Al5ILbDXxqaXA==" saltValue="GzRgxm7xmMhcbROvWtGFY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186</v>
      </c>
      <c r="C3" s="115"/>
      <c r="D3" s="115"/>
      <c r="E3" s="1"/>
    </row>
    <row r="4" spans="1:5" ht="15" customHeight="1" x14ac:dyDescent="0.25">
      <c r="A4" s="1"/>
      <c r="B4" s="115"/>
      <c r="C4" s="115"/>
      <c r="D4" s="115"/>
      <c r="E4" s="1"/>
    </row>
    <row r="5" spans="1:5" x14ac:dyDescent="0.25">
      <c r="A5" s="1"/>
      <c r="B5" s="116" t="s">
        <v>22</v>
      </c>
      <c r="C5" s="116"/>
      <c r="D5" s="116"/>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ht="15" customHeight="1" x14ac:dyDescent="0.25">
      <c r="A9" s="1"/>
      <c r="B9" s="27" t="s">
        <v>127</v>
      </c>
      <c r="C9" s="7">
        <f>'Fane 2.1. Økonomisk ramme 2023'!C20</f>
        <v>47296175.374458358</v>
      </c>
      <c r="D9" s="8" t="s">
        <v>3</v>
      </c>
      <c r="E9" s="1"/>
    </row>
    <row r="10" spans="1:5" ht="15" customHeight="1" x14ac:dyDescent="0.25">
      <c r="A10" s="1"/>
      <c r="B10" s="24" t="s">
        <v>19</v>
      </c>
      <c r="C10" s="7">
        <f>SUM(C9:C9)*'Fane 15. Nøgletal'!C15</f>
        <v>1683743.8433307174</v>
      </c>
      <c r="D10" s="8" t="s">
        <v>3</v>
      </c>
      <c r="E10" s="1"/>
    </row>
    <row r="11" spans="1:5" ht="15" customHeight="1" x14ac:dyDescent="0.25">
      <c r="A11" s="1"/>
      <c r="B11" s="24" t="s">
        <v>10</v>
      </c>
      <c r="C11" s="9">
        <f>-SUM(C9:C10)*'Fane 5. Individuelt eff. krav'!G9</f>
        <v>-964827.9892297606</v>
      </c>
      <c r="D11" s="8" t="s">
        <v>3</v>
      </c>
      <c r="E11" s="1"/>
    </row>
    <row r="12" spans="1:5" ht="15" customHeight="1" x14ac:dyDescent="0.25">
      <c r="A12" s="1"/>
      <c r="B12" s="24" t="s">
        <v>24</v>
      </c>
      <c r="C12" s="9">
        <f>-'Fane 4.1. Gen. krav - drift'!G53</f>
        <v>-291532.20309593179</v>
      </c>
      <c r="D12" s="8" t="s">
        <v>3</v>
      </c>
      <c r="E12" s="1"/>
    </row>
    <row r="13" spans="1:5" ht="15" customHeight="1" x14ac:dyDescent="0.25">
      <c r="A13" s="1"/>
      <c r="B13" s="24" t="s">
        <v>25</v>
      </c>
      <c r="C13" s="9">
        <f>-'Fane 4.2. Gen. krav - anlæg'!G54</f>
        <v>0</v>
      </c>
      <c r="D13" s="8" t="s">
        <v>3</v>
      </c>
      <c r="E13" s="1"/>
    </row>
    <row r="14" spans="1:5" ht="15" customHeight="1" x14ac:dyDescent="0.25">
      <c r="A14" s="1"/>
      <c r="B14" s="25" t="s">
        <v>21</v>
      </c>
      <c r="C14" s="10">
        <f>SUM(C9:C13)</f>
        <v>47723559.02546338</v>
      </c>
      <c r="D14" s="11" t="s">
        <v>3</v>
      </c>
      <c r="E14" s="1"/>
    </row>
    <row r="15" spans="1:5" x14ac:dyDescent="0.25">
      <c r="A15" s="1"/>
      <c r="B15" s="31" t="s">
        <v>12</v>
      </c>
      <c r="C15" s="26"/>
      <c r="D15" s="18"/>
      <c r="E15" s="1"/>
    </row>
    <row r="16" spans="1:5" ht="15" customHeight="1" x14ac:dyDescent="0.25">
      <c r="A16" s="1"/>
      <c r="B16" s="29" t="s">
        <v>12</v>
      </c>
      <c r="C16" s="10">
        <f>'Fane 6. Ikke-påvirkelige omk.'!C14*(1+'Fane 15. Nøgletal'!C15)+'Fane 6. Ikke-påvirkelige omk.'!C19+'Fane 6. Ikke-påvirkelige omk.'!C27</f>
        <v>26001991.289713852</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driftsomk.'!E19</f>
        <v>0</v>
      </c>
      <c r="D18" s="11" t="s">
        <v>3</v>
      </c>
      <c r="E18" s="1"/>
    </row>
    <row r="19" spans="1:5" x14ac:dyDescent="0.25">
      <c r="A19" s="1"/>
      <c r="B19" s="31" t="s">
        <v>143</v>
      </c>
      <c r="C19" s="26"/>
      <c r="D19" s="18"/>
      <c r="E19" s="1"/>
    </row>
    <row r="20" spans="1:5" ht="15" customHeight="1" x14ac:dyDescent="0.25">
      <c r="A20" s="1"/>
      <c r="B20" s="29" t="s">
        <v>180</v>
      </c>
      <c r="C20" s="10">
        <f>'Fane 7. Kontrol af ØR2021'!E34</f>
        <v>-610150.35594524071</v>
      </c>
      <c r="D20" s="11" t="s">
        <v>3</v>
      </c>
      <c r="E20" s="1"/>
    </row>
    <row r="21" spans="1:5" x14ac:dyDescent="0.25">
      <c r="A21" s="1"/>
      <c r="B21" s="28" t="s">
        <v>175</v>
      </c>
      <c r="C21" s="26"/>
      <c r="D21" s="18"/>
      <c r="E21" s="1"/>
    </row>
    <row r="22" spans="1:5" x14ac:dyDescent="0.25">
      <c r="A22" s="1"/>
      <c r="B22" s="91" t="s">
        <v>176</v>
      </c>
      <c r="C22" s="10">
        <f>'Fane 8. Skattesagen'!G13</f>
        <v>0</v>
      </c>
      <c r="D22" s="11" t="s">
        <v>3</v>
      </c>
      <c r="E22" s="1"/>
    </row>
    <row r="23" spans="1:5" x14ac:dyDescent="0.25">
      <c r="A23" s="1"/>
      <c r="B23" s="31" t="s">
        <v>128</v>
      </c>
      <c r="C23" s="12">
        <f>SUM(C14,C16,C18,C20,C22)</f>
        <v>73115399.959231988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UHFfo4L9SOPFU2SGCC37x5gn9fqH6aEKNe3dZlWyecq+3C5JPCj6/VciQ5Nxtxus4/2bRJH0od2Y4Uocdp8oA==" saltValue="j0XH1NMwxKPWgIkKH3QrV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187</v>
      </c>
      <c r="C3" s="115"/>
      <c r="D3" s="115"/>
      <c r="E3" s="1"/>
    </row>
    <row r="4" spans="1:5" ht="15" customHeight="1" x14ac:dyDescent="0.25">
      <c r="A4" s="1"/>
      <c r="B4" s="115"/>
      <c r="C4" s="115"/>
      <c r="D4" s="115"/>
      <c r="E4" s="1"/>
    </row>
    <row r="5" spans="1:5" x14ac:dyDescent="0.25">
      <c r="A5" s="1"/>
      <c r="B5" s="116" t="s">
        <v>22</v>
      </c>
      <c r="C5" s="116"/>
      <c r="D5" s="116"/>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233</v>
      </c>
      <c r="C9" s="7">
        <f>'Fane 2.2. Økonomisk ramme 2024'!C14</f>
        <v>47723559.02546338</v>
      </c>
      <c r="D9" s="8" t="s">
        <v>3</v>
      </c>
      <c r="E9" s="1"/>
    </row>
    <row r="10" spans="1:5" ht="15" customHeight="1" x14ac:dyDescent="0.25">
      <c r="A10" s="1"/>
      <c r="B10" s="24" t="s">
        <v>19</v>
      </c>
      <c r="C10" s="7">
        <f>SUM(C9:C9)*'Fane 15. Nøgletal'!C15</f>
        <v>1698958.7013064963</v>
      </c>
      <c r="D10" s="8" t="s">
        <v>3</v>
      </c>
      <c r="E10" s="1"/>
    </row>
    <row r="11" spans="1:5" ht="15" customHeight="1" x14ac:dyDescent="0.25">
      <c r="A11" s="1"/>
      <c r="B11" s="24" t="s">
        <v>10</v>
      </c>
      <c r="C11" s="9">
        <f>-SUM(C9:C10)*'Fane 5. Individuelt eff. krav'!G9</f>
        <v>-973546.48930643988</v>
      </c>
      <c r="D11" s="8" t="s">
        <v>3</v>
      </c>
      <c r="E11" s="1"/>
    </row>
    <row r="12" spans="1:5" ht="15" customHeight="1" x14ac:dyDescent="0.25">
      <c r="A12" s="1"/>
      <c r="B12" s="24" t="s">
        <v>24</v>
      </c>
      <c r="C12" s="9">
        <f>-'Fane 4.1. Gen. krav - drift'!G58</f>
        <v>-295872.53453562403</v>
      </c>
      <c r="D12" s="8" t="s">
        <v>3</v>
      </c>
      <c r="E12" s="1"/>
    </row>
    <row r="13" spans="1:5" ht="15" customHeight="1" x14ac:dyDescent="0.25">
      <c r="A13" s="1"/>
      <c r="B13" s="24" t="s">
        <v>25</v>
      </c>
      <c r="C13" s="9">
        <f>-'Fane 4.2. Gen. krav - anlæg'!G59</f>
        <v>0</v>
      </c>
      <c r="D13" s="8" t="s">
        <v>3</v>
      </c>
      <c r="E13" s="1"/>
    </row>
    <row r="14" spans="1:5" x14ac:dyDescent="0.25">
      <c r="A14" s="1"/>
      <c r="B14" s="25" t="s">
        <v>21</v>
      </c>
      <c r="C14" s="10">
        <f>SUM(C9:C13)</f>
        <v>48153098.702927813</v>
      </c>
      <c r="D14" s="11" t="s">
        <v>3</v>
      </c>
      <c r="E14" s="1"/>
    </row>
    <row r="15" spans="1:5" x14ac:dyDescent="0.25">
      <c r="A15" s="1"/>
      <c r="B15" s="31" t="s">
        <v>12</v>
      </c>
      <c r="C15" s="26"/>
      <c r="D15" s="18"/>
      <c r="E15" s="1"/>
    </row>
    <row r="16" spans="1:5" ht="15" customHeight="1" x14ac:dyDescent="0.25">
      <c r="A16" s="1"/>
      <c r="B16" s="29" t="s">
        <v>12</v>
      </c>
      <c r="C16" s="10">
        <f>'Fane 6. Ikke-påvirkelige omk.'!C14*(1+'Fane 15. Nøgletal'!C15)^2+'Fane 6. Ikke-påvirkelige omk.'!C20+'Fane 6. Ikke-påvirkelige omk.'!C28</f>
        <v>26927662.179627668</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driftsomk.'!E25</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-610150.35594524071</v>
      </c>
      <c r="D20" s="11" t="s">
        <v>3</v>
      </c>
      <c r="E20" s="1"/>
    </row>
    <row r="21" spans="1:5" x14ac:dyDescent="0.25">
      <c r="A21" s="1"/>
      <c r="B21" s="28" t="s">
        <v>175</v>
      </c>
      <c r="C21" s="26"/>
      <c r="D21" s="18"/>
      <c r="E21" s="1"/>
    </row>
    <row r="22" spans="1:5" x14ac:dyDescent="0.25">
      <c r="A22" s="1"/>
      <c r="B22" s="91" t="s">
        <v>176</v>
      </c>
      <c r="C22" s="10">
        <f>'Fane 8. Skattesagen'!G14</f>
        <v>0</v>
      </c>
      <c r="D22" s="11" t="s">
        <v>3</v>
      </c>
      <c r="E22" s="1"/>
    </row>
    <row r="23" spans="1:5" x14ac:dyDescent="0.25">
      <c r="A23" s="1"/>
      <c r="B23" s="31" t="s">
        <v>149</v>
      </c>
      <c r="C23" s="12">
        <f>SUM(C14,C16,C18,C20,C22)</f>
        <v>74470610.52661024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PgND4+yzwDAQvYPi1jLOBD0MLjGn6C6N9r6wYeRKITJDTnaO5MrL9wHwsQxe9kdn+hxOEszZTmhCoTQFhPy3A==" saltValue="mnzRsoepgIWQF6GI4dwPr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5" t="s">
        <v>188</v>
      </c>
      <c r="C3" s="115"/>
      <c r="D3" s="115"/>
      <c r="E3" s="1"/>
    </row>
    <row r="4" spans="1:5" ht="15" customHeight="1" x14ac:dyDescent="0.25">
      <c r="A4" s="1"/>
      <c r="B4" s="115"/>
      <c r="C4" s="115"/>
      <c r="D4" s="115"/>
      <c r="E4" s="1"/>
    </row>
    <row r="5" spans="1:5" x14ac:dyDescent="0.25">
      <c r="A5" s="1"/>
      <c r="B5" s="116" t="s">
        <v>22</v>
      </c>
      <c r="C5" s="116"/>
      <c r="D5" s="116"/>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189</v>
      </c>
      <c r="C9" s="7">
        <f>'Fane 2.3. Økonomisk ramme 2025'!C14</f>
        <v>48153098.702927813</v>
      </c>
      <c r="D9" s="8" t="s">
        <v>3</v>
      </c>
      <c r="E9" s="1"/>
    </row>
    <row r="10" spans="1:5" ht="15" customHeight="1" x14ac:dyDescent="0.25">
      <c r="A10" s="1"/>
      <c r="B10" s="24" t="s">
        <v>19</v>
      </c>
      <c r="C10" s="7">
        <f>SUM(C9:C9)*'Fane 15. Nøgletal'!C15</f>
        <v>1714250.3138242301</v>
      </c>
      <c r="D10" s="8" t="s">
        <v>3</v>
      </c>
      <c r="E10" s="1"/>
    </row>
    <row r="11" spans="1:5" ht="15" customHeight="1" x14ac:dyDescent="0.25">
      <c r="A11" s="1"/>
      <c r="B11" s="24" t="s">
        <v>10</v>
      </c>
      <c r="C11" s="9">
        <f>-SUM(C9:C10)*'Fane 5. Individuelt eff. krav'!G9</f>
        <v>-982308.97168522037</v>
      </c>
      <c r="D11" s="8" t="s">
        <v>3</v>
      </c>
      <c r="E11" s="1"/>
    </row>
    <row r="12" spans="1:5" ht="15" customHeight="1" x14ac:dyDescent="0.25">
      <c r="A12" s="1"/>
      <c r="B12" s="24" t="s">
        <v>24</v>
      </c>
      <c r="C12" s="9">
        <f>-'Fane 4.1. Gen. krav - drift'!G63</f>
        <v>-300277.48482979042</v>
      </c>
      <c r="D12" s="8" t="s">
        <v>3</v>
      </c>
      <c r="E12" s="1"/>
    </row>
    <row r="13" spans="1:5" ht="15" customHeight="1" x14ac:dyDescent="0.25">
      <c r="A13" s="1"/>
      <c r="B13" s="24" t="s">
        <v>25</v>
      </c>
      <c r="C13" s="9">
        <f>-'Fane 4.2. Gen. krav - anlæg'!G64</f>
        <v>0</v>
      </c>
      <c r="D13" s="8" t="s">
        <v>3</v>
      </c>
      <c r="E13" s="1"/>
    </row>
    <row r="14" spans="1:5" ht="14.25" customHeight="1" x14ac:dyDescent="0.25">
      <c r="A14" s="1"/>
      <c r="B14" s="25" t="s">
        <v>21</v>
      </c>
      <c r="C14" s="10">
        <f>SUM(C9:C13)</f>
        <v>48584762.560237028</v>
      </c>
      <c r="D14" s="11" t="s">
        <v>3</v>
      </c>
      <c r="E14" s="1"/>
    </row>
    <row r="15" spans="1:5" x14ac:dyDescent="0.25">
      <c r="A15" s="1"/>
      <c r="B15" s="31" t="s">
        <v>12</v>
      </c>
      <c r="C15" s="26"/>
      <c r="D15" s="18"/>
      <c r="E15" s="1"/>
    </row>
    <row r="16" spans="1:5" ht="15" customHeight="1" x14ac:dyDescent="0.25">
      <c r="A16" s="1"/>
      <c r="B16" s="29" t="s">
        <v>12</v>
      </c>
      <c r="C16" s="10">
        <f>'Fane 6. Ikke-påvirkelige omk.'!C14*(1+'Fane 15. Nøgletal'!C15)^3+'Fane 6. Ikke-påvirkelige omk.'!C21+'Fane 6. Ikke-påvirkelige omk.'!C29</f>
        <v>27886286.953222416</v>
      </c>
      <c r="D16" s="11" t="s">
        <v>3</v>
      </c>
      <c r="E16" s="1"/>
    </row>
    <row r="17" spans="1:5" ht="15" customHeight="1" x14ac:dyDescent="0.25">
      <c r="A17" s="1"/>
      <c r="B17" s="31" t="s">
        <v>86</v>
      </c>
      <c r="C17" s="26"/>
      <c r="D17" s="18"/>
      <c r="E17" s="1"/>
    </row>
    <row r="18" spans="1:5" ht="15" customHeight="1" x14ac:dyDescent="0.25">
      <c r="A18" s="1"/>
      <c r="B18" s="85" t="s">
        <v>86</v>
      </c>
      <c r="C18" s="10">
        <f>'Fane 12. Periodevise driftsomk.'!E31</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-610150.35594524071</v>
      </c>
      <c r="D20" s="11" t="s">
        <v>3</v>
      </c>
      <c r="E20" s="1"/>
    </row>
    <row r="21" spans="1:5" x14ac:dyDescent="0.25">
      <c r="A21" s="1"/>
      <c r="B21" s="28" t="s">
        <v>175</v>
      </c>
      <c r="C21" s="26"/>
      <c r="D21" s="18"/>
      <c r="E21" s="1"/>
    </row>
    <row r="22" spans="1:5" x14ac:dyDescent="0.25">
      <c r="A22" s="1"/>
      <c r="B22" s="91" t="s">
        <v>176</v>
      </c>
      <c r="C22" s="10">
        <f>'Fane 8. Skattesagen'!G15</f>
        <v>0</v>
      </c>
      <c r="D22" s="11" t="s">
        <v>3</v>
      </c>
      <c r="E22" s="1"/>
    </row>
    <row r="23" spans="1:5" x14ac:dyDescent="0.25">
      <c r="A23" s="1"/>
      <c r="B23" s="31" t="s">
        <v>190</v>
      </c>
      <c r="C23" s="12">
        <f>SUM(C14,C16,C18,C20,C22)</f>
        <v>75860899.1575142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weSznxnraRiIVSgYrXCtNq1jesDPK0xvWSIpMeX7onfk/JrnL2AUco94hE6VRno47JLFuYQosKgaGz9Ipb9PCA==" saltValue="sY039VrVOYGF3zvTZ7n8s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191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286</v>
      </c>
      <c r="C8" s="26"/>
      <c r="D8" s="26"/>
      <c r="E8" s="26"/>
      <c r="F8" s="18"/>
      <c r="G8" s="1"/>
    </row>
    <row r="9" spans="1:7" ht="15" customHeight="1" x14ac:dyDescent="0.25">
      <c r="A9" s="1"/>
      <c r="B9" s="117" t="s">
        <v>192</v>
      </c>
      <c r="C9" s="118"/>
      <c r="D9" s="119"/>
      <c r="E9" s="7">
        <v>46885234.93626637</v>
      </c>
      <c r="F9" s="8" t="s">
        <v>3</v>
      </c>
      <c r="G9" s="1"/>
    </row>
    <row r="10" spans="1:7" ht="15" customHeight="1" x14ac:dyDescent="0.25">
      <c r="A10" s="1"/>
      <c r="B10" s="121" t="s">
        <v>39</v>
      </c>
      <c r="C10" s="122"/>
      <c r="D10" s="123"/>
      <c r="E10" s="7">
        <v>1528290.7712000001</v>
      </c>
      <c r="F10" s="8" t="s">
        <v>3</v>
      </c>
      <c r="G10" s="1"/>
    </row>
    <row r="11" spans="1:7" ht="15" customHeight="1" x14ac:dyDescent="0.25">
      <c r="A11" s="1"/>
      <c r="B11" s="121" t="s">
        <v>40</v>
      </c>
      <c r="C11" s="122"/>
      <c r="D11" s="123"/>
      <c r="E11" s="9">
        <v>229018.27450000003</v>
      </c>
      <c r="F11" s="8" t="s">
        <v>3</v>
      </c>
      <c r="G11" s="1"/>
    </row>
    <row r="12" spans="1:7" ht="15" customHeight="1" x14ac:dyDescent="0.25">
      <c r="A12" s="1"/>
      <c r="B12" s="121" t="s">
        <v>27</v>
      </c>
      <c r="C12" s="122"/>
      <c r="D12" s="123"/>
      <c r="E12" s="9">
        <v>0</v>
      </c>
      <c r="F12" s="8" t="s">
        <v>3</v>
      </c>
      <c r="G12" s="1"/>
    </row>
    <row r="13" spans="1:7" ht="15" customHeight="1" x14ac:dyDescent="0.25">
      <c r="A13" s="1"/>
      <c r="B13" s="117" t="s">
        <v>26</v>
      </c>
      <c r="C13" s="118"/>
      <c r="D13" s="119"/>
      <c r="E13" s="9">
        <v>0</v>
      </c>
      <c r="F13" s="8" t="s">
        <v>3</v>
      </c>
      <c r="G13" s="1"/>
    </row>
    <row r="14" spans="1:7" ht="15" customHeight="1" x14ac:dyDescent="0.25">
      <c r="A14" s="1"/>
      <c r="B14" s="117" t="s">
        <v>29</v>
      </c>
      <c r="C14" s="118"/>
      <c r="D14" s="119"/>
      <c r="E14" s="9">
        <v>0</v>
      </c>
      <c r="F14" s="8" t="s">
        <v>3</v>
      </c>
      <c r="G14" s="1"/>
    </row>
    <row r="15" spans="1:7" ht="15" customHeight="1" x14ac:dyDescent="0.25">
      <c r="A15" s="1"/>
      <c r="B15" s="117" t="s">
        <v>28</v>
      </c>
      <c r="C15" s="118"/>
      <c r="D15" s="119"/>
      <c r="E15" s="9">
        <v>0</v>
      </c>
      <c r="F15" s="8" t="s">
        <v>3</v>
      </c>
      <c r="G15" s="1"/>
    </row>
    <row r="16" spans="1:7" ht="15" customHeight="1" x14ac:dyDescent="0.25">
      <c r="A16" s="1"/>
      <c r="B16" s="117" t="s">
        <v>19</v>
      </c>
      <c r="C16" s="118"/>
      <c r="D16" s="119"/>
      <c r="E16" s="9">
        <f>SUM(E9:E15)*'Fane 15. Nøgletal'!C14</f>
        <v>160520.39514048901</v>
      </c>
      <c r="F16" s="8" t="s">
        <v>3</v>
      </c>
      <c r="G16" s="1"/>
    </row>
    <row r="17" spans="1:7" ht="15" customHeight="1" x14ac:dyDescent="0.25">
      <c r="A17" s="1"/>
      <c r="B17" s="117" t="s">
        <v>10</v>
      </c>
      <c r="C17" s="118"/>
      <c r="D17" s="119"/>
      <c r="E17" s="9">
        <v>-961344.22480045957</v>
      </c>
      <c r="F17" s="8" t="s">
        <v>3</v>
      </c>
      <c r="G17" s="1"/>
    </row>
    <row r="18" spans="1:7" ht="15" customHeight="1" x14ac:dyDescent="0.25">
      <c r="A18" s="1"/>
      <c r="B18" s="117" t="s">
        <v>24</v>
      </c>
      <c r="C18" s="118"/>
      <c r="D18" s="119"/>
      <c r="E18" s="9">
        <f>-'Fane 4.1. Gen. krav - drift'!G39</f>
        <v>-261396.13940025467</v>
      </c>
      <c r="F18" s="8" t="s">
        <v>3</v>
      </c>
      <c r="G18" s="1"/>
    </row>
    <row r="19" spans="1:7" ht="15" customHeight="1" x14ac:dyDescent="0.25">
      <c r="A19" s="1"/>
      <c r="B19" s="117" t="s">
        <v>25</v>
      </c>
      <c r="C19" s="118"/>
      <c r="D19" s="119"/>
      <c r="E19" s="9">
        <f>-'Fane 4.2. Gen. krav - anlæg'!G37</f>
        <v>-533801.34699674754</v>
      </c>
      <c r="F19" s="8" t="s">
        <v>3</v>
      </c>
      <c r="G19" s="1"/>
    </row>
    <row r="20" spans="1:7" ht="15" customHeight="1" x14ac:dyDescent="0.25">
      <c r="A20" s="1"/>
      <c r="B20" s="52" t="s">
        <v>21</v>
      </c>
      <c r="C20" s="86"/>
      <c r="D20" s="92"/>
      <c r="E20" s="50">
        <f>SUM(E9:E19)</f>
        <v>47046522.665909402</v>
      </c>
      <c r="F20" s="51" t="s">
        <v>3</v>
      </c>
      <c r="G20" s="1"/>
    </row>
    <row r="21" spans="1:7" ht="15" customHeight="1" x14ac:dyDescent="0.25">
      <c r="A21" s="1"/>
      <c r="B21" s="31" t="s">
        <v>12</v>
      </c>
      <c r="C21" s="26"/>
      <c r="D21" s="26"/>
      <c r="E21" s="26"/>
      <c r="F21" s="18"/>
      <c r="G21" s="1"/>
    </row>
    <row r="22" spans="1:7" ht="15" customHeight="1" x14ac:dyDescent="0.25">
      <c r="A22" s="1"/>
      <c r="B22" s="124" t="s">
        <v>12</v>
      </c>
      <c r="C22" s="125"/>
      <c r="D22" s="126"/>
      <c r="E22" s="10">
        <v>23861005.312005203</v>
      </c>
      <c r="F22" s="11" t="s">
        <v>3</v>
      </c>
      <c r="G22" s="1"/>
    </row>
    <row r="23" spans="1:7" ht="15" customHeight="1" x14ac:dyDescent="0.25">
      <c r="A23" s="1"/>
      <c r="B23" s="127" t="s">
        <v>86</v>
      </c>
      <c r="C23" s="128"/>
      <c r="D23" s="129"/>
      <c r="E23" s="26"/>
      <c r="F23" s="18"/>
      <c r="G23" s="1"/>
    </row>
    <row r="24" spans="1:7" ht="15" customHeight="1" x14ac:dyDescent="0.25">
      <c r="A24" s="1"/>
      <c r="B24" s="85" t="s">
        <v>86</v>
      </c>
      <c r="C24" s="36"/>
      <c r="D24" s="37"/>
      <c r="E24" s="10">
        <v>0</v>
      </c>
      <c r="F24" s="11" t="s">
        <v>3</v>
      </c>
      <c r="G24" s="1"/>
    </row>
    <row r="25" spans="1:7" x14ac:dyDescent="0.25">
      <c r="A25" s="1"/>
      <c r="B25" s="31" t="s">
        <v>85</v>
      </c>
      <c r="C25" s="26"/>
      <c r="D25" s="26"/>
      <c r="E25" s="26"/>
      <c r="F25" s="18"/>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0" t="s">
        <v>87</v>
      </c>
      <c r="C28" s="131"/>
      <c r="D28" s="131"/>
      <c r="E28" s="38">
        <v>0</v>
      </c>
      <c r="F28" s="11" t="s">
        <v>3</v>
      </c>
      <c r="G28" s="1"/>
    </row>
    <row r="29" spans="1:7" ht="15" customHeight="1" x14ac:dyDescent="0.25">
      <c r="A29" s="1"/>
      <c r="B29" s="31" t="s">
        <v>143</v>
      </c>
      <c r="C29" s="31"/>
      <c r="D29" s="31"/>
      <c r="E29" s="26"/>
      <c r="F29" s="18"/>
      <c r="G29" s="1"/>
    </row>
    <row r="30" spans="1:7" ht="15" customHeight="1" x14ac:dyDescent="0.25">
      <c r="A30" s="1"/>
      <c r="B30" s="124" t="s">
        <v>142</v>
      </c>
      <c r="C30" s="125"/>
      <c r="D30" s="125"/>
      <c r="E30" s="38">
        <v>0</v>
      </c>
      <c r="F30" s="11" t="s">
        <v>3</v>
      </c>
      <c r="G30" s="1"/>
    </row>
    <row r="31" spans="1:7" x14ac:dyDescent="0.25">
      <c r="A31" s="1"/>
      <c r="B31" s="31" t="s">
        <v>123</v>
      </c>
      <c r="C31" s="26"/>
      <c r="D31" s="26"/>
      <c r="E31" s="26"/>
      <c r="F31" s="18"/>
      <c r="G31" s="1"/>
    </row>
    <row r="32" spans="1:7" ht="15.4" customHeight="1" x14ac:dyDescent="0.25">
      <c r="A32" s="1"/>
      <c r="B32" s="124" t="s">
        <v>123</v>
      </c>
      <c r="C32" s="125"/>
      <c r="D32" s="126"/>
      <c r="E32" s="10">
        <v>0</v>
      </c>
      <c r="F32" s="11" t="s">
        <v>3</v>
      </c>
      <c r="G32" s="1"/>
    </row>
    <row r="33" spans="1:7" ht="15.4" customHeight="1" x14ac:dyDescent="0.25">
      <c r="A33" s="1"/>
      <c r="B33" s="127" t="s">
        <v>175</v>
      </c>
      <c r="C33" s="128"/>
      <c r="D33" s="128"/>
      <c r="E33" s="128"/>
      <c r="F33" s="129"/>
      <c r="G33" s="1"/>
    </row>
    <row r="34" spans="1:7" ht="15.4" customHeight="1" x14ac:dyDescent="0.25">
      <c r="A34" s="1"/>
      <c r="B34" s="91" t="s">
        <v>176</v>
      </c>
      <c r="C34" s="10"/>
      <c r="D34" s="11"/>
      <c r="E34" s="10">
        <f>'Fane 8. Skattesagen'!G11</f>
        <v>0</v>
      </c>
      <c r="F34" s="11" t="s">
        <v>3</v>
      </c>
      <c r="G34" s="1"/>
    </row>
    <row r="35" spans="1:7" x14ac:dyDescent="0.25">
      <c r="A35" s="1"/>
      <c r="B35" s="31" t="s">
        <v>218</v>
      </c>
      <c r="C35" s="26"/>
      <c r="D35" s="18"/>
      <c r="E35" s="12">
        <f>SUM(E32,E30,E28,E24,E22,E20,E34)</f>
        <v>70907527.977914602</v>
      </c>
      <c r="F35" s="13" t="s">
        <v>3</v>
      </c>
      <c r="G35" s="1"/>
    </row>
    <row r="36" spans="1:7" ht="27" customHeight="1" x14ac:dyDescent="0.25">
      <c r="A36" s="1"/>
      <c r="B36" s="117" t="s">
        <v>222</v>
      </c>
      <c r="C36" s="118"/>
      <c r="D36" s="118"/>
      <c r="E36" s="118"/>
      <c r="F36" s="11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UoPyUEqQY+ACOLqluGE5VGdoyR9luFLkyFoseOTHn4kRYyzqbJ8XhfixrmDzy3g+lh5lgya+03LFJrE2IexVsg==" saltValue="AC7bbf0UbYkaWxaL5La0Rg=="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5"/>
      <c r="C1" s="35"/>
      <c r="D1" s="35"/>
      <c r="E1" s="35"/>
      <c r="F1" s="35"/>
      <c r="G1" s="35"/>
      <c r="H1" s="35"/>
      <c r="I1" s="1"/>
    </row>
    <row r="2" spans="1:9" ht="15" customHeight="1" x14ac:dyDescent="0.25">
      <c r="A2" s="1"/>
      <c r="B2" s="120" t="s">
        <v>109</v>
      </c>
      <c r="C2" s="120"/>
      <c r="D2" s="120"/>
      <c r="E2" s="120"/>
      <c r="F2" s="120"/>
      <c r="G2" s="120"/>
      <c r="H2" s="120"/>
      <c r="I2" s="1"/>
    </row>
    <row r="3" spans="1:9" ht="28.5" customHeight="1" x14ac:dyDescent="0.25">
      <c r="A3" s="1"/>
      <c r="B3" s="120"/>
      <c r="C3" s="120"/>
      <c r="D3" s="120"/>
      <c r="E3" s="120"/>
      <c r="F3" s="120"/>
      <c r="G3" s="120"/>
      <c r="H3" s="120"/>
      <c r="I3" s="1"/>
    </row>
    <row r="4" spans="1:9" x14ac:dyDescent="0.25">
      <c r="A4" s="1"/>
      <c r="B4" s="127" t="s">
        <v>52</v>
      </c>
      <c r="C4" s="128"/>
      <c r="D4" s="128"/>
      <c r="E4" s="128"/>
      <c r="F4" s="128"/>
      <c r="G4" s="128"/>
      <c r="H4" s="129"/>
      <c r="I4" s="1"/>
    </row>
    <row r="5" spans="1:9" x14ac:dyDescent="0.25">
      <c r="A5" s="1"/>
      <c r="B5" s="132" t="s">
        <v>41</v>
      </c>
      <c r="C5" s="133"/>
      <c r="D5" s="133"/>
      <c r="E5" s="133"/>
      <c r="F5" s="134"/>
      <c r="G5" s="72">
        <v>11735780.545259675</v>
      </c>
      <c r="H5" s="14" t="s">
        <v>3</v>
      </c>
      <c r="I5" s="1"/>
    </row>
    <row r="6" spans="1:9" x14ac:dyDescent="0.25">
      <c r="A6" s="1"/>
      <c r="B6" s="117" t="s">
        <v>120</v>
      </c>
      <c r="C6" s="118"/>
      <c r="D6" s="118"/>
      <c r="E6" s="118"/>
      <c r="F6" s="119"/>
      <c r="G6" s="73">
        <v>0</v>
      </c>
      <c r="H6" s="14" t="s">
        <v>3</v>
      </c>
      <c r="I6" s="1"/>
    </row>
    <row r="7" spans="1:9" x14ac:dyDescent="0.25">
      <c r="A7" s="1"/>
      <c r="B7" s="132" t="s">
        <v>42</v>
      </c>
      <c r="C7" s="133"/>
      <c r="D7" s="133"/>
      <c r="E7" s="133"/>
      <c r="F7" s="134"/>
      <c r="G7" s="72">
        <f>SUM(G5:G6)*'Fane 15. Nøgletal'!C31</f>
        <v>234715.61090519349</v>
      </c>
      <c r="H7" s="14" t="s">
        <v>3</v>
      </c>
      <c r="I7" s="1"/>
    </row>
    <row r="8" spans="1:9" x14ac:dyDescent="0.25">
      <c r="A8" s="1"/>
      <c r="B8" s="31"/>
      <c r="C8" s="26"/>
      <c r="D8" s="26"/>
      <c r="E8" s="26"/>
      <c r="F8" s="26"/>
      <c r="G8" s="74"/>
      <c r="H8" s="18"/>
      <c r="I8" s="1"/>
    </row>
    <row r="9" spans="1:9" x14ac:dyDescent="0.25">
      <c r="A9" s="1"/>
      <c r="B9" s="1"/>
      <c r="C9" s="1"/>
      <c r="D9" s="1"/>
      <c r="E9" s="1"/>
      <c r="F9" s="1"/>
      <c r="G9" s="75"/>
      <c r="H9" s="1"/>
      <c r="I9" s="1"/>
    </row>
    <row r="10" spans="1:9" x14ac:dyDescent="0.25">
      <c r="A10" s="1"/>
      <c r="B10" s="127" t="s">
        <v>53</v>
      </c>
      <c r="C10" s="128"/>
      <c r="D10" s="128"/>
      <c r="E10" s="128"/>
      <c r="F10" s="128"/>
      <c r="G10" s="135"/>
      <c r="H10" s="129"/>
      <c r="I10" s="1"/>
    </row>
    <row r="11" spans="1:9" x14ac:dyDescent="0.25">
      <c r="A11" s="1"/>
      <c r="B11" s="132" t="s">
        <v>43</v>
      </c>
      <c r="C11" s="133"/>
      <c r="D11" s="133"/>
      <c r="E11" s="133"/>
      <c r="F11" s="134"/>
      <c r="G11" s="72">
        <f>(G5-G7)*(1+'Fane 15. Nøgletal'!C10)</f>
        <v>11702333.570705686</v>
      </c>
      <c r="H11" s="14" t="s">
        <v>3</v>
      </c>
      <c r="I11" s="1"/>
    </row>
    <row r="12" spans="1:9" ht="15" customHeight="1" x14ac:dyDescent="0.25">
      <c r="A12" s="1"/>
      <c r="B12" s="132" t="s">
        <v>121</v>
      </c>
      <c r="C12" s="133"/>
      <c r="D12" s="133"/>
      <c r="E12" s="133"/>
      <c r="F12" s="134"/>
      <c r="G12" s="73">
        <v>0</v>
      </c>
      <c r="H12" s="14" t="s">
        <v>3</v>
      </c>
      <c r="I12" s="1"/>
    </row>
    <row r="13" spans="1:9" x14ac:dyDescent="0.25">
      <c r="A13" s="1"/>
      <c r="B13" s="117" t="s">
        <v>118</v>
      </c>
      <c r="C13" s="118"/>
      <c r="D13" s="118"/>
      <c r="E13" s="118"/>
      <c r="F13" s="119"/>
      <c r="G13" s="73">
        <v>0</v>
      </c>
      <c r="H13" s="14" t="s">
        <v>3</v>
      </c>
      <c r="I13" s="1"/>
    </row>
    <row r="14" spans="1:9" x14ac:dyDescent="0.25">
      <c r="A14" s="1"/>
      <c r="B14" s="139" t="s">
        <v>44</v>
      </c>
      <c r="C14" s="140"/>
      <c r="D14" s="140"/>
      <c r="E14" s="140"/>
      <c r="F14" s="141"/>
      <c r="G14" s="73">
        <v>0</v>
      </c>
      <c r="H14" s="14" t="s">
        <v>3</v>
      </c>
      <c r="I14" s="1"/>
    </row>
    <row r="15" spans="1:9" x14ac:dyDescent="0.25">
      <c r="A15" s="1"/>
      <c r="B15" s="132" t="s">
        <v>45</v>
      </c>
      <c r="C15" s="133"/>
      <c r="D15" s="133"/>
      <c r="E15" s="133"/>
      <c r="F15" s="134"/>
      <c r="G15" s="72">
        <f>SUM(G11:G14)*'Fane 15. Nøgletal'!C31</f>
        <v>234046.67141411372</v>
      </c>
      <c r="H15" s="14" t="s">
        <v>3</v>
      </c>
      <c r="I15" s="1"/>
    </row>
    <row r="16" spans="1:9" x14ac:dyDescent="0.25">
      <c r="A16" s="1"/>
      <c r="B16" s="31"/>
      <c r="C16" s="26"/>
      <c r="D16" s="26"/>
      <c r="E16" s="26"/>
      <c r="F16" s="26"/>
      <c r="G16" s="74"/>
      <c r="H16" s="18"/>
      <c r="I16" s="1"/>
    </row>
    <row r="17" spans="1:9" x14ac:dyDescent="0.25">
      <c r="A17" s="1"/>
      <c r="B17" s="1"/>
      <c r="C17" s="1"/>
      <c r="D17" s="1"/>
      <c r="E17" s="1"/>
      <c r="F17" s="1"/>
      <c r="G17" s="75"/>
      <c r="H17" s="1"/>
      <c r="I17" s="1"/>
    </row>
    <row r="18" spans="1:9" x14ac:dyDescent="0.25">
      <c r="A18" s="1"/>
      <c r="B18" s="127" t="s">
        <v>54</v>
      </c>
      <c r="C18" s="128"/>
      <c r="D18" s="128"/>
      <c r="E18" s="128"/>
      <c r="F18" s="128"/>
      <c r="G18" s="135"/>
      <c r="H18" s="129"/>
      <c r="I18" s="1"/>
    </row>
    <row r="19" spans="1:9" x14ac:dyDescent="0.25">
      <c r="A19" s="1"/>
      <c r="B19" s="132" t="s">
        <v>46</v>
      </c>
      <c r="C19" s="133"/>
      <c r="D19" s="133"/>
      <c r="E19" s="133"/>
      <c r="F19" s="134"/>
      <c r="G19" s="72">
        <f>(SUM(G11:G12,G14)-(G15))*(1+'Fane 15. Nøgletal'!C10)</f>
        <v>11668981.920029175</v>
      </c>
      <c r="H19" s="14" t="s">
        <v>3</v>
      </c>
      <c r="I19" s="1"/>
    </row>
    <row r="20" spans="1:9" x14ac:dyDescent="0.25">
      <c r="A20" s="1"/>
      <c r="B20" s="139" t="s">
        <v>47</v>
      </c>
      <c r="C20" s="140"/>
      <c r="D20" s="140"/>
      <c r="E20" s="140"/>
      <c r="F20" s="141"/>
      <c r="G20" s="73">
        <v>0</v>
      </c>
      <c r="H20" s="14" t="s">
        <v>3</v>
      </c>
      <c r="I20" s="1"/>
    </row>
    <row r="21" spans="1:9" x14ac:dyDescent="0.25">
      <c r="A21" s="1"/>
      <c r="B21" s="132" t="s">
        <v>48</v>
      </c>
      <c r="C21" s="133"/>
      <c r="D21" s="133"/>
      <c r="E21" s="133"/>
      <c r="F21" s="134"/>
      <c r="G21" s="72">
        <f>SUM(G19:G20)*'Fane 15. Nøgletal'!C31</f>
        <v>233379.6384005835</v>
      </c>
      <c r="H21" s="14" t="s">
        <v>3</v>
      </c>
      <c r="I21" s="1"/>
    </row>
    <row r="22" spans="1:9" x14ac:dyDescent="0.25">
      <c r="A22" s="1"/>
      <c r="B22" s="31"/>
      <c r="C22" s="26"/>
      <c r="D22" s="26"/>
      <c r="E22" s="26"/>
      <c r="F22" s="26"/>
      <c r="G22" s="74"/>
      <c r="H22" s="18"/>
      <c r="I22" s="1"/>
    </row>
    <row r="23" spans="1:9" x14ac:dyDescent="0.25">
      <c r="A23" s="1"/>
      <c r="B23" s="1"/>
      <c r="C23" s="1"/>
      <c r="D23" s="1"/>
      <c r="E23" s="1"/>
      <c r="F23" s="1"/>
      <c r="G23" s="75"/>
      <c r="H23" s="1"/>
      <c r="I23" s="1"/>
    </row>
    <row r="24" spans="1:9" x14ac:dyDescent="0.25">
      <c r="A24" s="1"/>
      <c r="B24" s="127" t="s">
        <v>55</v>
      </c>
      <c r="C24" s="128"/>
      <c r="D24" s="128"/>
      <c r="E24" s="128"/>
      <c r="F24" s="128"/>
      <c r="G24" s="135"/>
      <c r="H24" s="129"/>
      <c r="I24" s="1"/>
    </row>
    <row r="25" spans="1:9" x14ac:dyDescent="0.25">
      <c r="A25" s="1"/>
      <c r="B25" s="132" t="s">
        <v>49</v>
      </c>
      <c r="C25" s="133"/>
      <c r="D25" s="133"/>
      <c r="E25" s="133"/>
      <c r="F25" s="134"/>
      <c r="G25" s="72">
        <f>(G19+G20-G21)*(1+'Fane 15. Nøgletal'!C12)</f>
        <v>11660883.646576677</v>
      </c>
      <c r="H25" s="14" t="s">
        <v>3</v>
      </c>
      <c r="I25" s="1"/>
    </row>
    <row r="26" spans="1:9" x14ac:dyDescent="0.25">
      <c r="A26" s="1"/>
      <c r="B26" s="139" t="s">
        <v>50</v>
      </c>
      <c r="C26" s="140"/>
      <c r="D26" s="140"/>
      <c r="E26" s="140"/>
      <c r="F26" s="141"/>
      <c r="G26" s="73">
        <v>40219.003321199998</v>
      </c>
      <c r="H26" s="14" t="s">
        <v>3</v>
      </c>
      <c r="I26" s="1"/>
    </row>
    <row r="27" spans="1:9" x14ac:dyDescent="0.25">
      <c r="A27" s="1"/>
      <c r="B27" s="132" t="s">
        <v>51</v>
      </c>
      <c r="C27" s="133"/>
      <c r="D27" s="133"/>
      <c r="E27" s="133"/>
      <c r="F27" s="134"/>
      <c r="G27" s="72">
        <f>(G25+G26)*'Fane 15. Nøgletal'!C31</f>
        <v>234022.05299795754</v>
      </c>
      <c r="H27" s="14" t="s">
        <v>3</v>
      </c>
      <c r="I27" s="1"/>
    </row>
    <row r="28" spans="1:9" x14ac:dyDescent="0.25">
      <c r="A28" s="1"/>
      <c r="B28" s="31"/>
      <c r="C28" s="26"/>
      <c r="D28" s="26"/>
      <c r="E28" s="26"/>
      <c r="F28" s="26"/>
      <c r="G28" s="74"/>
      <c r="H28" s="18"/>
      <c r="I28" s="1"/>
    </row>
    <row r="29" spans="1:9" x14ac:dyDescent="0.25">
      <c r="A29" s="1"/>
      <c r="B29" s="1"/>
      <c r="C29" s="1"/>
      <c r="D29" s="1"/>
      <c r="E29" s="1"/>
      <c r="F29" s="1"/>
      <c r="G29" s="75"/>
      <c r="H29" s="1"/>
      <c r="I29" s="1"/>
    </row>
    <row r="30" spans="1:9" x14ac:dyDescent="0.25">
      <c r="A30" s="1"/>
      <c r="B30" s="127" t="s">
        <v>58</v>
      </c>
      <c r="C30" s="128"/>
      <c r="D30" s="128"/>
      <c r="E30" s="128"/>
      <c r="F30" s="128"/>
      <c r="G30" s="135"/>
      <c r="H30" s="129"/>
      <c r="I30" s="1"/>
    </row>
    <row r="31" spans="1:9" x14ac:dyDescent="0.25">
      <c r="A31" s="1"/>
      <c r="B31" s="132" t="s">
        <v>59</v>
      </c>
      <c r="C31" s="133"/>
      <c r="D31" s="133"/>
      <c r="E31" s="133"/>
      <c r="F31" s="134"/>
      <c r="G31" s="72">
        <f>(G25+G26-G27)*(1+'Fane 15. Nøgletal'!C12)</f>
        <v>11692982.084658848</v>
      </c>
      <c r="H31" s="14" t="s">
        <v>3</v>
      </c>
      <c r="I31" s="1"/>
    </row>
    <row r="32" spans="1:9" x14ac:dyDescent="0.25">
      <c r="A32" s="1"/>
      <c r="B32" s="132" t="s">
        <v>137</v>
      </c>
      <c r="C32" s="133"/>
      <c r="D32" s="133"/>
      <c r="E32" s="133"/>
      <c r="F32" s="134"/>
      <c r="G32" s="72">
        <v>40209.44377464</v>
      </c>
      <c r="H32" s="14" t="s">
        <v>3</v>
      </c>
      <c r="I32" s="1"/>
    </row>
    <row r="33" spans="1:9" x14ac:dyDescent="0.25">
      <c r="A33" s="1"/>
      <c r="B33" s="132" t="s">
        <v>60</v>
      </c>
      <c r="C33" s="133"/>
      <c r="D33" s="133"/>
      <c r="E33" s="133"/>
      <c r="F33" s="134"/>
      <c r="G33" s="72">
        <f>(G31+G32)*'Fane 15. Nøgletal'!C31</f>
        <v>234663.83056866977</v>
      </c>
      <c r="H33" s="14" t="s">
        <v>3</v>
      </c>
      <c r="I33" s="1"/>
    </row>
    <row r="34" spans="1:9" x14ac:dyDescent="0.25">
      <c r="A34" s="1"/>
      <c r="B34" s="31"/>
      <c r="C34" s="26"/>
      <c r="D34" s="26"/>
      <c r="E34" s="26"/>
      <c r="F34" s="26"/>
      <c r="G34" s="74"/>
      <c r="H34" s="18"/>
      <c r="I34" s="1"/>
    </row>
    <row r="35" spans="1:9" x14ac:dyDescent="0.25">
      <c r="A35" s="1"/>
      <c r="B35" s="1"/>
      <c r="C35" s="1"/>
      <c r="D35" s="1"/>
      <c r="E35" s="1"/>
      <c r="F35" s="1"/>
      <c r="G35" s="75"/>
      <c r="H35" s="1"/>
      <c r="I35" s="1"/>
    </row>
    <row r="36" spans="1:9" x14ac:dyDescent="0.25">
      <c r="A36" s="1"/>
      <c r="B36" s="127" t="s">
        <v>160</v>
      </c>
      <c r="C36" s="128"/>
      <c r="D36" s="128"/>
      <c r="E36" s="128"/>
      <c r="F36" s="128"/>
      <c r="G36" s="135"/>
      <c r="H36" s="129"/>
      <c r="I36" s="1"/>
    </row>
    <row r="37" spans="1:9" x14ac:dyDescent="0.25">
      <c r="A37" s="1"/>
      <c r="B37" s="132" t="s">
        <v>79</v>
      </c>
      <c r="C37" s="133"/>
      <c r="D37" s="133"/>
      <c r="E37" s="133"/>
      <c r="F37" s="134"/>
      <c r="G37" s="72">
        <f>(G31+G32-G33)*(1+'Fane 15. Nøgletal'!C14)</f>
        <v>11536472.839267774</v>
      </c>
      <c r="H37" s="14" t="s">
        <v>3</v>
      </c>
      <c r="I37" s="1"/>
    </row>
    <row r="38" spans="1:9" x14ac:dyDescent="0.25">
      <c r="A38" s="1"/>
      <c r="B38" s="132" t="s">
        <v>164</v>
      </c>
      <c r="C38" s="133"/>
      <c r="D38" s="133"/>
      <c r="E38" s="133"/>
      <c r="F38" s="134"/>
      <c r="G38" s="72">
        <v>1533334.1307449602</v>
      </c>
      <c r="H38" s="14" t="s">
        <v>3</v>
      </c>
      <c r="I38" s="1"/>
    </row>
    <row r="39" spans="1:9" x14ac:dyDescent="0.25">
      <c r="A39" s="1"/>
      <c r="B39" s="132" t="s">
        <v>162</v>
      </c>
      <c r="C39" s="133"/>
      <c r="D39" s="133"/>
      <c r="E39" s="133"/>
      <c r="F39" s="134"/>
      <c r="G39" s="72">
        <f>(G37+G38)*'Fane 15. Nøgletal'!C31</f>
        <v>261396.13940025467</v>
      </c>
      <c r="H39" s="14" t="s">
        <v>3</v>
      </c>
      <c r="I39" s="1"/>
    </row>
    <row r="40" spans="1:9" x14ac:dyDescent="0.25">
      <c r="A40" s="1"/>
      <c r="B40" s="31"/>
      <c r="C40" s="26"/>
      <c r="D40" s="26"/>
      <c r="E40" s="26"/>
      <c r="F40" s="26"/>
      <c r="G40" s="74"/>
      <c r="H40" s="18"/>
      <c r="I40" s="1"/>
    </row>
    <row r="41" spans="1:9" x14ac:dyDescent="0.25">
      <c r="A41" s="1"/>
      <c r="B41" s="1"/>
      <c r="C41" s="1"/>
      <c r="D41" s="1"/>
      <c r="E41" s="1"/>
      <c r="F41" s="1"/>
      <c r="G41" s="75"/>
      <c r="H41" s="1"/>
      <c r="I41" s="1"/>
    </row>
    <row r="42" spans="1:9" x14ac:dyDescent="0.25">
      <c r="A42" s="1"/>
      <c r="B42" s="127" t="s">
        <v>161</v>
      </c>
      <c r="C42" s="128"/>
      <c r="D42" s="128"/>
      <c r="E42" s="128"/>
      <c r="F42" s="128"/>
      <c r="G42" s="135"/>
      <c r="H42" s="129"/>
      <c r="I42" s="1"/>
    </row>
    <row r="43" spans="1:9" x14ac:dyDescent="0.25">
      <c r="A43" s="1"/>
      <c r="B43" s="132" t="s">
        <v>228</v>
      </c>
      <c r="C43" s="133"/>
      <c r="D43" s="133"/>
      <c r="E43" s="133"/>
      <c r="F43" s="134"/>
      <c r="G43" s="72">
        <f>(G37+G38-G39)*(1+'Fane 15. Nøgletal'!C14)</f>
        <v>12850678.586353501</v>
      </c>
      <c r="H43" s="14" t="s">
        <v>3</v>
      </c>
      <c r="I43" s="1"/>
    </row>
    <row r="44" spans="1:9" x14ac:dyDescent="0.25">
      <c r="A44" s="1"/>
      <c r="B44" s="136" t="s">
        <v>230</v>
      </c>
      <c r="C44" s="137"/>
      <c r="D44" s="137"/>
      <c r="E44" s="137"/>
      <c r="F44" s="138"/>
      <c r="G44" s="76">
        <f>('Fane 2.1. Økonomisk ramme 2023'!C10+'Fane 2.1. Økonomisk ramme 2023'!C12+'Fane 2.1. Økonomisk ramme 2023'!C14)*(1+'Fane 15. Nøgletal'!C15)</f>
        <v>1512098.5425480001</v>
      </c>
      <c r="H44" s="14" t="s">
        <v>3</v>
      </c>
      <c r="I44" s="1"/>
    </row>
    <row r="45" spans="1:9" x14ac:dyDescent="0.25">
      <c r="A45" s="1"/>
      <c r="B45" s="132" t="s">
        <v>163</v>
      </c>
      <c r="C45" s="133"/>
      <c r="D45" s="133"/>
      <c r="E45" s="133"/>
      <c r="F45" s="134"/>
      <c r="G45" s="72">
        <f>SUM(G43:G44)*'Fane 15. Nøgletal'!C31</f>
        <v>287255.54257803003</v>
      </c>
      <c r="H45" s="14" t="s">
        <v>3</v>
      </c>
      <c r="I45" s="1"/>
    </row>
    <row r="46" spans="1:9" x14ac:dyDescent="0.25">
      <c r="A46" s="1"/>
      <c r="B46" s="31"/>
      <c r="C46" s="26"/>
      <c r="D46" s="26"/>
      <c r="E46" s="26"/>
      <c r="F46" s="26"/>
      <c r="G46" s="74"/>
      <c r="H46" s="18"/>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27" t="s">
        <v>241</v>
      </c>
      <c r="C51" s="128"/>
      <c r="D51" s="128"/>
      <c r="E51" s="128"/>
      <c r="F51" s="128"/>
      <c r="G51" s="135"/>
      <c r="H51" s="129"/>
      <c r="I51" s="1"/>
    </row>
    <row r="52" spans="1:9" x14ac:dyDescent="0.25">
      <c r="A52" s="1"/>
      <c r="B52" s="132" t="s">
        <v>227</v>
      </c>
      <c r="C52" s="133"/>
      <c r="D52" s="133"/>
      <c r="E52" s="133"/>
      <c r="F52" s="134"/>
      <c r="G52" s="72">
        <f>(G43+G44-G45)*(1+'Fane 15. Nøgletal'!C15)</f>
        <v>14576610.154796589</v>
      </c>
      <c r="H52" s="14" t="s">
        <v>3</v>
      </c>
      <c r="I52" s="1"/>
    </row>
    <row r="53" spans="1:9" x14ac:dyDescent="0.25">
      <c r="A53" s="1"/>
      <c r="B53" s="132" t="s">
        <v>138</v>
      </c>
      <c r="C53" s="133"/>
      <c r="D53" s="133"/>
      <c r="E53" s="133"/>
      <c r="F53" s="134"/>
      <c r="G53" s="72">
        <f>(G52)*'Fane 15. Nøgletal'!C31</f>
        <v>291532.20309593179</v>
      </c>
      <c r="H53" s="14" t="s">
        <v>3</v>
      </c>
      <c r="I53" s="1"/>
    </row>
    <row r="54" spans="1:9" x14ac:dyDescent="0.25">
      <c r="A54" s="1"/>
      <c r="B54" s="31"/>
      <c r="C54" s="26"/>
      <c r="D54" s="26"/>
      <c r="E54" s="26"/>
      <c r="F54" s="26"/>
      <c r="G54" s="74"/>
      <c r="H54" s="18"/>
      <c r="I54" s="1"/>
    </row>
    <row r="55" spans="1:9" x14ac:dyDescent="0.25">
      <c r="A55" s="1"/>
      <c r="B55" s="1"/>
      <c r="C55" s="1"/>
      <c r="D55" s="1"/>
      <c r="E55" s="1"/>
      <c r="F55" s="1"/>
      <c r="G55" s="75"/>
      <c r="H55" s="1"/>
      <c r="I55" s="1"/>
    </row>
    <row r="56" spans="1:9" x14ac:dyDescent="0.25">
      <c r="A56" s="1"/>
      <c r="B56" s="127" t="s">
        <v>150</v>
      </c>
      <c r="C56" s="128"/>
      <c r="D56" s="128"/>
      <c r="E56" s="128"/>
      <c r="F56" s="128"/>
      <c r="G56" s="135"/>
      <c r="H56" s="129"/>
      <c r="I56" s="1"/>
    </row>
    <row r="57" spans="1:9" x14ac:dyDescent="0.25">
      <c r="A57" s="1"/>
      <c r="B57" s="87" t="s">
        <v>151</v>
      </c>
      <c r="C57" s="88"/>
      <c r="D57" s="88"/>
      <c r="E57" s="88"/>
      <c r="F57" s="89"/>
      <c r="G57" s="72">
        <f>(G52-G53)*(1+'Fane 15. Nøgletal'!C15)</f>
        <v>14793626.726781202</v>
      </c>
      <c r="H57" s="14" t="s">
        <v>3</v>
      </c>
      <c r="I57" s="1"/>
    </row>
    <row r="58" spans="1:9" x14ac:dyDescent="0.25">
      <c r="A58" s="1"/>
      <c r="B58" s="87" t="s">
        <v>152</v>
      </c>
      <c r="C58" s="88"/>
      <c r="D58" s="88"/>
      <c r="E58" s="88"/>
      <c r="F58" s="89"/>
      <c r="G58" s="72">
        <f>(G57)*'Fane 15. Nøgletal'!C31</f>
        <v>295872.53453562403</v>
      </c>
      <c r="H58" s="14" t="s">
        <v>3</v>
      </c>
      <c r="I58" s="1"/>
    </row>
    <row r="59" spans="1:9" x14ac:dyDescent="0.25">
      <c r="A59" s="1"/>
      <c r="B59" s="31"/>
      <c r="C59" s="26"/>
      <c r="D59" s="26"/>
      <c r="E59" s="26"/>
      <c r="F59" s="26"/>
      <c r="G59" s="74"/>
      <c r="H59" s="18"/>
      <c r="I59" s="1"/>
    </row>
    <row r="60" spans="1:9" x14ac:dyDescent="0.25">
      <c r="A60" s="1"/>
      <c r="B60" s="1"/>
      <c r="C60" s="1"/>
      <c r="D60" s="1"/>
      <c r="E60" s="1"/>
      <c r="F60" s="1"/>
      <c r="G60" s="75"/>
      <c r="H60" s="1"/>
      <c r="I60" s="1"/>
    </row>
    <row r="61" spans="1:9" x14ac:dyDescent="0.25">
      <c r="A61" s="1"/>
      <c r="B61" s="127" t="s">
        <v>193</v>
      </c>
      <c r="C61" s="128"/>
      <c r="D61" s="128"/>
      <c r="E61" s="128"/>
      <c r="F61" s="128"/>
      <c r="G61" s="135"/>
      <c r="H61" s="129"/>
      <c r="I61" s="1"/>
    </row>
    <row r="62" spans="1:9" x14ac:dyDescent="0.25">
      <c r="A62" s="1"/>
      <c r="B62" s="87" t="s">
        <v>194</v>
      </c>
      <c r="C62" s="88"/>
      <c r="D62" s="88"/>
      <c r="E62" s="88"/>
      <c r="F62" s="89"/>
      <c r="G62" s="72">
        <f>(G57-G58)*(1+'Fane 15. Nøgletal'!C15)</f>
        <v>15013874.241489522</v>
      </c>
      <c r="H62" s="14" t="s">
        <v>3</v>
      </c>
      <c r="I62" s="1"/>
    </row>
    <row r="63" spans="1:9" x14ac:dyDescent="0.25">
      <c r="A63" s="1"/>
      <c r="B63" s="87" t="s">
        <v>195</v>
      </c>
      <c r="C63" s="88"/>
      <c r="D63" s="88"/>
      <c r="E63" s="88"/>
      <c r="F63" s="89"/>
      <c r="G63" s="72">
        <f>(G62)*'Fane 15. Nøgletal'!C31</f>
        <v>300277.48482979042</v>
      </c>
      <c r="H63" s="14" t="s">
        <v>3</v>
      </c>
      <c r="I63" s="1"/>
    </row>
    <row r="64" spans="1:9" x14ac:dyDescent="0.25">
      <c r="A64" s="1"/>
      <c r="B64" s="31"/>
      <c r="C64" s="26"/>
      <c r="D64" s="26"/>
      <c r="E64" s="26"/>
      <c r="F64" s="26"/>
      <c r="G64" s="26"/>
      <c r="H64" s="18"/>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VW/Xc4/gUpXRKHXFZMYtH8U5U2dkzthATfZmLKM9qBgXlD+0slv+qg7VDHWxfKmzikMHF6d4JQz7Je0IFMWXrg==" saltValue="/fg5XBuXDbkRxbsqd8s2nw=="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28515625" style="2" customWidth="1"/>
    <col min="2" max="5" width="9.140625" style="2"/>
    <col min="6" max="6" width="27.2851562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42" t="s">
        <v>110</v>
      </c>
      <c r="C1" s="142"/>
      <c r="D1" s="142"/>
      <c r="E1" s="142"/>
      <c r="F1" s="142"/>
      <c r="G1" s="142"/>
      <c r="H1" s="142"/>
      <c r="I1" s="1"/>
    </row>
    <row r="2" spans="1:9" ht="15"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7" t="s">
        <v>56</v>
      </c>
      <c r="C4" s="128"/>
      <c r="D4" s="128"/>
      <c r="E4" s="128"/>
      <c r="F4" s="128"/>
      <c r="G4" s="128"/>
      <c r="H4" s="129"/>
      <c r="I4" s="1"/>
    </row>
    <row r="5" spans="1:9" x14ac:dyDescent="0.25">
      <c r="A5" s="1"/>
      <c r="B5" s="132" t="s">
        <v>61</v>
      </c>
      <c r="C5" s="133"/>
      <c r="D5" s="133"/>
      <c r="E5" s="133"/>
      <c r="F5" s="134"/>
      <c r="G5" s="72">
        <v>30795122.812565792</v>
      </c>
      <c r="H5" s="14" t="s">
        <v>3</v>
      </c>
      <c r="I5" s="1"/>
    </row>
    <row r="6" spans="1:9" x14ac:dyDescent="0.25">
      <c r="A6" s="1"/>
      <c r="B6" s="132" t="s">
        <v>57</v>
      </c>
      <c r="C6" s="133"/>
      <c r="D6" s="133"/>
      <c r="E6" s="133"/>
      <c r="F6" s="134"/>
      <c r="G6" s="72">
        <f>G5*'Fane 15. Nøgletal'!C20</f>
        <v>280235.61759434873</v>
      </c>
      <c r="H6" s="14" t="s">
        <v>3</v>
      </c>
      <c r="I6" s="1"/>
    </row>
    <row r="7" spans="1:9" x14ac:dyDescent="0.25">
      <c r="A7" s="1"/>
      <c r="B7" s="31"/>
      <c r="C7" s="26"/>
      <c r="D7" s="26"/>
      <c r="E7" s="26"/>
      <c r="F7" s="26"/>
      <c r="G7" s="74"/>
      <c r="H7" s="18"/>
      <c r="I7" s="1"/>
    </row>
    <row r="8" spans="1:9" x14ac:dyDescent="0.25">
      <c r="A8" s="1"/>
      <c r="B8" s="1"/>
      <c r="C8" s="1"/>
      <c r="D8" s="1"/>
      <c r="E8" s="1"/>
      <c r="F8" s="1"/>
      <c r="G8" s="75"/>
      <c r="H8" s="1"/>
      <c r="I8" s="1"/>
    </row>
    <row r="9" spans="1:9" x14ac:dyDescent="0.25">
      <c r="A9" s="1"/>
      <c r="B9" s="127" t="s">
        <v>62</v>
      </c>
      <c r="C9" s="128"/>
      <c r="D9" s="128"/>
      <c r="E9" s="128"/>
      <c r="F9" s="128"/>
      <c r="G9" s="135"/>
      <c r="H9" s="129"/>
      <c r="I9" s="1"/>
    </row>
    <row r="10" spans="1:9" x14ac:dyDescent="0.25">
      <c r="A10" s="1"/>
      <c r="B10" s="132" t="s">
        <v>63</v>
      </c>
      <c r="C10" s="133"/>
      <c r="D10" s="133"/>
      <c r="E10" s="133"/>
      <c r="F10" s="134"/>
      <c r="G10" s="72">
        <f>(G5-G6)*(1+'Fane 15. Nøgletal'!C10)</f>
        <v>31048897.720883444</v>
      </c>
      <c r="H10" s="14" t="s">
        <v>3</v>
      </c>
      <c r="I10" s="1"/>
    </row>
    <row r="11" spans="1:9" x14ac:dyDescent="0.25">
      <c r="A11" s="1"/>
      <c r="B11" s="132" t="s">
        <v>122</v>
      </c>
      <c r="C11" s="133"/>
      <c r="D11" s="133"/>
      <c r="E11" s="133"/>
      <c r="F11" s="134"/>
      <c r="G11" s="72">
        <v>182447.70735369503</v>
      </c>
      <c r="H11" s="14" t="s">
        <v>3</v>
      </c>
      <c r="I11" s="1"/>
    </row>
    <row r="12" spans="1:9" x14ac:dyDescent="0.25">
      <c r="A12" s="1"/>
      <c r="B12" s="139" t="s">
        <v>64</v>
      </c>
      <c r="C12" s="140"/>
      <c r="D12" s="140"/>
      <c r="E12" s="140"/>
      <c r="F12" s="141"/>
      <c r="G12" s="73">
        <v>0</v>
      </c>
      <c r="H12" s="14" t="s">
        <v>3</v>
      </c>
      <c r="I12" s="1"/>
    </row>
    <row r="13" spans="1:9" x14ac:dyDescent="0.25">
      <c r="A13" s="1"/>
      <c r="B13" s="132" t="s">
        <v>65</v>
      </c>
      <c r="C13" s="133"/>
      <c r="D13" s="133"/>
      <c r="E13" s="133"/>
      <c r="F13" s="134"/>
      <c r="G13" s="72">
        <f>SUM(G10:G12)*'Fane 15. Nøgletal'!C21</f>
        <v>552794.81407979736</v>
      </c>
      <c r="H13" s="14" t="s">
        <v>3</v>
      </c>
      <c r="I13" s="1"/>
    </row>
    <row r="14" spans="1:9" x14ac:dyDescent="0.25">
      <c r="A14" s="1"/>
      <c r="B14" s="31"/>
      <c r="C14" s="26"/>
      <c r="D14" s="26"/>
      <c r="E14" s="26"/>
      <c r="F14" s="26"/>
      <c r="G14" s="74"/>
      <c r="H14" s="18"/>
      <c r="I14" s="1"/>
    </row>
    <row r="15" spans="1:9" x14ac:dyDescent="0.25">
      <c r="A15" s="1"/>
      <c r="B15" s="1"/>
      <c r="C15" s="1"/>
      <c r="D15" s="1"/>
      <c r="E15" s="1"/>
      <c r="F15" s="1"/>
      <c r="G15" s="75"/>
      <c r="H15" s="1"/>
      <c r="I15" s="1"/>
    </row>
    <row r="16" spans="1:9" x14ac:dyDescent="0.25">
      <c r="A16" s="1"/>
      <c r="B16" s="127" t="s">
        <v>66</v>
      </c>
      <c r="C16" s="128"/>
      <c r="D16" s="128"/>
      <c r="E16" s="128"/>
      <c r="F16" s="128"/>
      <c r="G16" s="135"/>
      <c r="H16" s="129"/>
      <c r="I16" s="1"/>
    </row>
    <row r="17" spans="1:9" x14ac:dyDescent="0.25">
      <c r="A17" s="1"/>
      <c r="B17" s="132" t="s">
        <v>67</v>
      </c>
      <c r="C17" s="133"/>
      <c r="D17" s="133"/>
      <c r="E17" s="133"/>
      <c r="F17" s="134"/>
      <c r="G17" s="72">
        <f>(SUM(G10:G12)-G13)*(1+'Fane 15. Nøgletal'!C10)</f>
        <v>31215425.249905098</v>
      </c>
      <c r="H17" s="14" t="s">
        <v>3</v>
      </c>
      <c r="I17" s="1"/>
    </row>
    <row r="18" spans="1:9" x14ac:dyDescent="0.25">
      <c r="A18" s="1"/>
      <c r="B18" s="139" t="s">
        <v>68</v>
      </c>
      <c r="C18" s="140"/>
      <c r="D18" s="140"/>
      <c r="E18" s="140"/>
      <c r="F18" s="141"/>
      <c r="G18" s="72">
        <v>207805.70784315997</v>
      </c>
      <c r="H18" s="14" t="s">
        <v>3</v>
      </c>
      <c r="I18" s="1"/>
    </row>
    <row r="19" spans="1:9" x14ac:dyDescent="0.25">
      <c r="A19" s="1"/>
      <c r="B19" s="132" t="s">
        <v>69</v>
      </c>
      <c r="C19" s="133"/>
      <c r="D19" s="133"/>
      <c r="E19" s="133"/>
      <c r="F19" s="134"/>
      <c r="G19" s="72">
        <f>G17*'Fane 15. Nøgletal'!C21+G18*'Fane 15. Nøgletal'!C22</f>
        <v>554320.93658155575</v>
      </c>
      <c r="H19" s="14" t="s">
        <v>3</v>
      </c>
      <c r="I19" s="1"/>
    </row>
    <row r="20" spans="1:9" x14ac:dyDescent="0.25">
      <c r="A20" s="1"/>
      <c r="B20" s="31"/>
      <c r="C20" s="26"/>
      <c r="D20" s="26"/>
      <c r="E20" s="26"/>
      <c r="F20" s="26"/>
      <c r="G20" s="74"/>
      <c r="H20" s="18"/>
      <c r="I20" s="1"/>
    </row>
    <row r="21" spans="1:9" x14ac:dyDescent="0.25">
      <c r="A21" s="1"/>
      <c r="B21" s="1"/>
      <c r="C21" s="1"/>
      <c r="D21" s="1"/>
      <c r="E21" s="1"/>
      <c r="F21" s="1"/>
      <c r="G21" s="75"/>
      <c r="H21" s="1"/>
      <c r="I21" s="1"/>
    </row>
    <row r="22" spans="1:9" x14ac:dyDescent="0.25">
      <c r="A22" s="1"/>
      <c r="B22" s="127" t="s">
        <v>70</v>
      </c>
      <c r="C22" s="128"/>
      <c r="D22" s="128"/>
      <c r="E22" s="128"/>
      <c r="F22" s="128"/>
      <c r="G22" s="135"/>
      <c r="H22" s="129"/>
      <c r="I22" s="1"/>
    </row>
    <row r="23" spans="1:9" x14ac:dyDescent="0.25">
      <c r="A23" s="1"/>
      <c r="B23" s="132" t="s">
        <v>71</v>
      </c>
      <c r="C23" s="133"/>
      <c r="D23" s="133"/>
      <c r="E23" s="133"/>
      <c r="F23" s="134"/>
      <c r="G23" s="72">
        <f>(G17+G18-G19)*(1+'Fane 15. Nøgletal'!C12)</f>
        <v>31477027.548583686</v>
      </c>
      <c r="H23" s="14" t="s">
        <v>3</v>
      </c>
      <c r="I23" s="1"/>
    </row>
    <row r="24" spans="1:9" x14ac:dyDescent="0.25">
      <c r="A24" s="1"/>
      <c r="B24" s="139" t="s">
        <v>72</v>
      </c>
      <c r="C24" s="140"/>
      <c r="D24" s="140"/>
      <c r="E24" s="140"/>
      <c r="F24" s="141"/>
      <c r="G24" s="72">
        <v>908121.3023536629</v>
      </c>
      <c r="H24" s="14" t="s">
        <v>3</v>
      </c>
      <c r="I24" s="1"/>
    </row>
    <row r="25" spans="1:9" x14ac:dyDescent="0.25">
      <c r="A25" s="1"/>
      <c r="B25" s="132" t="s">
        <v>73</v>
      </c>
      <c r="C25" s="133"/>
      <c r="D25" s="133"/>
      <c r="E25" s="133"/>
      <c r="F25" s="134"/>
      <c r="G25" s="72">
        <f>(G23+G24)*'Fane 15. Nøgletal'!C23</f>
        <v>919738.22736662067</v>
      </c>
      <c r="H25" s="14" t="s">
        <v>3</v>
      </c>
      <c r="I25" s="1"/>
    </row>
    <row r="26" spans="1:9" x14ac:dyDescent="0.25">
      <c r="A26" s="1"/>
      <c r="B26" s="31"/>
      <c r="C26" s="26"/>
      <c r="D26" s="26"/>
      <c r="E26" s="26"/>
      <c r="F26" s="26"/>
      <c r="G26" s="74"/>
      <c r="H26" s="18"/>
      <c r="I26" s="1"/>
    </row>
    <row r="27" spans="1:9" x14ac:dyDescent="0.25">
      <c r="A27" s="1"/>
      <c r="B27" s="1"/>
      <c r="C27" s="1"/>
      <c r="D27" s="1"/>
      <c r="E27" s="1"/>
      <c r="F27" s="1"/>
      <c r="G27" s="75"/>
      <c r="H27" s="1"/>
      <c r="I27" s="1"/>
    </row>
    <row r="28" spans="1:9" x14ac:dyDescent="0.25">
      <c r="A28" s="1"/>
      <c r="B28" s="127" t="s">
        <v>74</v>
      </c>
      <c r="C28" s="128"/>
      <c r="D28" s="128"/>
      <c r="E28" s="128"/>
      <c r="F28" s="128"/>
      <c r="G28" s="135"/>
      <c r="H28" s="129"/>
      <c r="I28" s="1"/>
    </row>
    <row r="29" spans="1:9" x14ac:dyDescent="0.25">
      <c r="A29" s="1"/>
      <c r="B29" s="132" t="s">
        <v>75</v>
      </c>
      <c r="C29" s="133"/>
      <c r="D29" s="133"/>
      <c r="E29" s="133"/>
      <c r="F29" s="134"/>
      <c r="G29" s="72">
        <f>(G23+G24-G25)*(1+'Fane 15. Nøgletal'!C12)</f>
        <v>32085279.212855071</v>
      </c>
      <c r="H29" s="14" t="s">
        <v>3</v>
      </c>
      <c r="I29" s="1"/>
    </row>
    <row r="30" spans="1:9" x14ac:dyDescent="0.25">
      <c r="A30" s="1"/>
      <c r="B30" s="132" t="s">
        <v>139</v>
      </c>
      <c r="C30" s="133"/>
      <c r="D30" s="133"/>
      <c r="E30" s="133"/>
      <c r="F30" s="134"/>
      <c r="G30" s="72">
        <v>4674499.9843046395</v>
      </c>
      <c r="H30" s="14" t="s">
        <v>3</v>
      </c>
      <c r="I30" s="1"/>
    </row>
    <row r="31" spans="1:9" x14ac:dyDescent="0.25">
      <c r="A31" s="1"/>
      <c r="B31" s="132" t="s">
        <v>76</v>
      </c>
      <c r="C31" s="133"/>
      <c r="D31" s="133"/>
      <c r="E31" s="133"/>
      <c r="F31" s="134"/>
      <c r="G31" s="72">
        <f>G29*'Fane 15. Nøgletal'!C23+G30*'Fane 15. Nøgletal'!C24</f>
        <v>1039770.6792134617</v>
      </c>
      <c r="H31" s="14" t="s">
        <v>3</v>
      </c>
      <c r="I31" s="1"/>
    </row>
    <row r="32" spans="1:9" x14ac:dyDescent="0.25">
      <c r="A32" s="1"/>
      <c r="B32" s="31"/>
      <c r="C32" s="26"/>
      <c r="D32" s="26"/>
      <c r="E32" s="26"/>
      <c r="F32" s="26"/>
      <c r="G32" s="74"/>
      <c r="H32" s="18"/>
      <c r="I32" s="1"/>
    </row>
    <row r="33" spans="1:9" x14ac:dyDescent="0.25">
      <c r="A33" s="1"/>
      <c r="B33" s="1"/>
      <c r="C33" s="1"/>
      <c r="D33" s="1"/>
      <c r="E33" s="1"/>
      <c r="F33" s="1"/>
      <c r="G33" s="75"/>
      <c r="H33" s="1"/>
      <c r="I33" s="1"/>
    </row>
    <row r="34" spans="1:9" x14ac:dyDescent="0.25">
      <c r="A34" s="1"/>
      <c r="B34" s="127" t="s">
        <v>165</v>
      </c>
      <c r="C34" s="128"/>
      <c r="D34" s="128"/>
      <c r="E34" s="128"/>
      <c r="F34" s="128"/>
      <c r="G34" s="135"/>
      <c r="H34" s="129"/>
      <c r="I34" s="1"/>
    </row>
    <row r="35" spans="1:9" x14ac:dyDescent="0.25">
      <c r="A35" s="1"/>
      <c r="B35" s="132" t="s">
        <v>78</v>
      </c>
      <c r="C35" s="133"/>
      <c r="D35" s="133"/>
      <c r="E35" s="133"/>
      <c r="F35" s="134"/>
      <c r="G35" s="72">
        <f>(G29+G30-G31)*(1+'Fane 15. Nøgletal'!C14)</f>
        <v>35837884.546055466</v>
      </c>
      <c r="H35" s="14" t="s">
        <v>3</v>
      </c>
      <c r="I35" s="1"/>
    </row>
    <row r="36" spans="1:9" x14ac:dyDescent="0.25">
      <c r="A36" s="1"/>
      <c r="B36" s="132" t="s">
        <v>167</v>
      </c>
      <c r="C36" s="133"/>
      <c r="D36" s="133"/>
      <c r="E36" s="133"/>
      <c r="F36" s="134"/>
      <c r="G36" s="72">
        <v>229774.03480585004</v>
      </c>
      <c r="H36" s="14" t="s">
        <v>3</v>
      </c>
      <c r="I36" s="1"/>
    </row>
    <row r="37" spans="1:9" x14ac:dyDescent="0.25">
      <c r="A37" s="1"/>
      <c r="B37" s="132" t="s">
        <v>166</v>
      </c>
      <c r="C37" s="133"/>
      <c r="D37" s="133"/>
      <c r="E37" s="133"/>
      <c r="F37" s="134"/>
      <c r="G37" s="72">
        <f>(G35+G36)*'Fane 15. Nøgletal'!C25</f>
        <v>533801.34699674754</v>
      </c>
      <c r="H37" s="14" t="s">
        <v>3</v>
      </c>
      <c r="I37" s="1"/>
    </row>
    <row r="38" spans="1:9" x14ac:dyDescent="0.25">
      <c r="A38" s="1"/>
      <c r="B38" s="31"/>
      <c r="C38" s="26"/>
      <c r="D38" s="26"/>
      <c r="E38" s="26"/>
      <c r="F38" s="26"/>
      <c r="G38" s="74"/>
      <c r="H38" s="18"/>
      <c r="I38" s="1"/>
    </row>
    <row r="39" spans="1:9" x14ac:dyDescent="0.25">
      <c r="A39" s="1"/>
      <c r="B39" s="1"/>
      <c r="C39" s="1"/>
      <c r="D39" s="1"/>
      <c r="E39" s="1"/>
      <c r="F39" s="1"/>
      <c r="G39" s="75"/>
      <c r="H39" s="1"/>
      <c r="I39" s="1"/>
    </row>
    <row r="40" spans="1:9" x14ac:dyDescent="0.25">
      <c r="A40" s="1"/>
      <c r="B40" s="127" t="s">
        <v>221</v>
      </c>
      <c r="C40" s="128"/>
      <c r="D40" s="128"/>
      <c r="E40" s="128"/>
      <c r="F40" s="128"/>
      <c r="G40" s="135"/>
      <c r="H40" s="129"/>
      <c r="I40" s="1"/>
    </row>
    <row r="41" spans="1:9" x14ac:dyDescent="0.25">
      <c r="A41" s="1"/>
      <c r="B41" s="132" t="s">
        <v>77</v>
      </c>
      <c r="C41" s="133"/>
      <c r="D41" s="133"/>
      <c r="E41" s="133"/>
      <c r="F41" s="134"/>
      <c r="G41" s="72">
        <f>(G35+G36-G37)*(1+'Fane 15. Nøgletal'!C14)</f>
        <v>35651118.962736323</v>
      </c>
      <c r="H41" s="14" t="s">
        <v>3</v>
      </c>
      <c r="I41" s="1"/>
    </row>
    <row r="42" spans="1:9" x14ac:dyDescent="0.25">
      <c r="A42" s="1"/>
      <c r="B42" s="42" t="s">
        <v>229</v>
      </c>
      <c r="C42" s="88"/>
      <c r="D42" s="88"/>
      <c r="E42" s="88"/>
      <c r="F42" s="89"/>
      <c r="G42" s="76">
        <f>('Fane 2.1. Økonomisk ramme 2023'!C11+'Fane 2.1. Økonomisk ramme 2023'!C13+'Fane 2.1. Økonomisk ramme 2023'!C15)*(1+'Fane 15. Nøgletal'!C15)</f>
        <v>363949.30588752002</v>
      </c>
      <c r="H42" s="14" t="s">
        <v>3</v>
      </c>
      <c r="I42" s="1"/>
    </row>
    <row r="43" spans="1:9" x14ac:dyDescent="0.25">
      <c r="A43" s="1"/>
      <c r="B43" s="132" t="s">
        <v>168</v>
      </c>
      <c r="C43" s="133"/>
      <c r="D43" s="133"/>
      <c r="E43" s="133"/>
      <c r="F43" s="134"/>
      <c r="G43" s="72">
        <f>(G41)*'Fane 15. Nøgletal'!C25+G42*'Fane 15. Nøgletal'!C26</f>
        <v>527636.56064849766</v>
      </c>
      <c r="H43" s="14" t="s">
        <v>3</v>
      </c>
      <c r="I43" s="1"/>
    </row>
    <row r="44" spans="1:9" x14ac:dyDescent="0.25">
      <c r="A44" s="1"/>
      <c r="B44" s="31"/>
      <c r="C44" s="26"/>
      <c r="D44" s="26"/>
      <c r="E44" s="26"/>
      <c r="F44" s="26"/>
      <c r="G44" s="74"/>
      <c r="H44" s="18"/>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27" t="s">
        <v>242</v>
      </c>
      <c r="C52" s="128"/>
      <c r="D52" s="128"/>
      <c r="E52" s="128"/>
      <c r="F52" s="128"/>
      <c r="G52" s="135"/>
      <c r="H52" s="129"/>
      <c r="I52" s="1"/>
    </row>
    <row r="53" spans="1:9" x14ac:dyDescent="0.25">
      <c r="A53" s="1"/>
      <c r="B53" s="132" t="s">
        <v>140</v>
      </c>
      <c r="C53" s="133"/>
      <c r="D53" s="133"/>
      <c r="E53" s="133"/>
      <c r="F53" s="134"/>
      <c r="G53" s="72">
        <f>(G41+G42-G43)*(1+'Fane 15. Nøgletal'!C15)</f>
        <v>36750784.276779264</v>
      </c>
      <c r="H53" s="14" t="s">
        <v>3</v>
      </c>
      <c r="I53" s="1"/>
    </row>
    <row r="54" spans="1:9" x14ac:dyDescent="0.25">
      <c r="A54" s="1"/>
      <c r="B54" s="132" t="s">
        <v>141</v>
      </c>
      <c r="C54" s="133"/>
      <c r="D54" s="133"/>
      <c r="E54" s="133"/>
      <c r="F54" s="134"/>
      <c r="G54" s="72">
        <f>(G53)*'Fane 15. Nøgletal'!C26</f>
        <v>0</v>
      </c>
      <c r="H54" s="14" t="s">
        <v>3</v>
      </c>
      <c r="I54" s="1"/>
    </row>
    <row r="55" spans="1:9" x14ac:dyDescent="0.25">
      <c r="A55" s="1"/>
      <c r="B55" s="31"/>
      <c r="C55" s="26"/>
      <c r="D55" s="26"/>
      <c r="E55" s="26"/>
      <c r="F55" s="26"/>
      <c r="G55" s="74"/>
      <c r="H55" s="18"/>
      <c r="I55" s="1"/>
    </row>
    <row r="56" spans="1:9" x14ac:dyDescent="0.25">
      <c r="A56" s="1"/>
      <c r="B56" s="1"/>
      <c r="C56" s="1"/>
      <c r="D56" s="1"/>
      <c r="E56" s="1"/>
      <c r="F56" s="1"/>
      <c r="G56" s="75"/>
      <c r="H56" s="1"/>
      <c r="I56" s="1"/>
    </row>
    <row r="57" spans="1:9" x14ac:dyDescent="0.25">
      <c r="A57" s="1"/>
      <c r="B57" s="127" t="s">
        <v>153</v>
      </c>
      <c r="C57" s="128"/>
      <c r="D57" s="128"/>
      <c r="E57" s="128"/>
      <c r="F57" s="128"/>
      <c r="G57" s="135"/>
      <c r="H57" s="129"/>
      <c r="I57" s="1"/>
    </row>
    <row r="58" spans="1:9" x14ac:dyDescent="0.25">
      <c r="A58" s="1"/>
      <c r="B58" s="132" t="s">
        <v>173</v>
      </c>
      <c r="C58" s="133"/>
      <c r="D58" s="133"/>
      <c r="E58" s="133"/>
      <c r="F58" s="134"/>
      <c r="G58" s="72">
        <f>(G53-G54)*(1+'Fane 15. Nøgletal'!C15)</f>
        <v>38059112.197032608</v>
      </c>
      <c r="H58" s="14" t="s">
        <v>3</v>
      </c>
      <c r="I58" s="1"/>
    </row>
    <row r="59" spans="1:9" x14ac:dyDescent="0.25">
      <c r="A59" s="1"/>
      <c r="B59" s="132" t="s">
        <v>174</v>
      </c>
      <c r="C59" s="133"/>
      <c r="D59" s="133"/>
      <c r="E59" s="133"/>
      <c r="F59" s="134"/>
      <c r="G59" s="72">
        <f>(G58)*'Fane 15. Nøgletal'!C26</f>
        <v>0</v>
      </c>
      <c r="H59" s="14" t="s">
        <v>3</v>
      </c>
      <c r="I59" s="1"/>
    </row>
    <row r="60" spans="1:9" x14ac:dyDescent="0.25">
      <c r="A60" s="1"/>
      <c r="B60" s="31"/>
      <c r="C60" s="26"/>
      <c r="D60" s="26"/>
      <c r="E60" s="26"/>
      <c r="F60" s="26"/>
      <c r="G60" s="74"/>
      <c r="H60" s="18"/>
      <c r="I60" s="1"/>
    </row>
    <row r="61" spans="1:9" x14ac:dyDescent="0.25">
      <c r="A61" s="1"/>
      <c r="B61" s="1"/>
      <c r="C61" s="1"/>
      <c r="D61" s="1"/>
      <c r="E61" s="1"/>
      <c r="F61" s="1"/>
      <c r="G61" s="75"/>
      <c r="H61" s="1"/>
      <c r="I61" s="1"/>
    </row>
    <row r="62" spans="1:9" x14ac:dyDescent="0.25">
      <c r="A62" s="1"/>
      <c r="B62" s="127" t="s">
        <v>196</v>
      </c>
      <c r="C62" s="128"/>
      <c r="D62" s="128"/>
      <c r="E62" s="128"/>
      <c r="F62" s="128"/>
      <c r="G62" s="135"/>
      <c r="H62" s="129"/>
      <c r="I62" s="1"/>
    </row>
    <row r="63" spans="1:9" x14ac:dyDescent="0.25">
      <c r="A63" s="1"/>
      <c r="B63" s="132" t="s">
        <v>197</v>
      </c>
      <c r="C63" s="133"/>
      <c r="D63" s="133"/>
      <c r="E63" s="133"/>
      <c r="F63" s="134"/>
      <c r="G63" s="72">
        <f>(G58-G59)*(1+'Fane 15. Nøgletal'!C15)</f>
        <v>39414016.59124697</v>
      </c>
      <c r="H63" s="14" t="s">
        <v>3</v>
      </c>
      <c r="I63" s="1"/>
    </row>
    <row r="64" spans="1:9" x14ac:dyDescent="0.25">
      <c r="A64" s="1"/>
      <c r="B64" s="132" t="s">
        <v>198</v>
      </c>
      <c r="C64" s="133"/>
      <c r="D64" s="133"/>
      <c r="E64" s="133"/>
      <c r="F64" s="134"/>
      <c r="G64" s="72">
        <f>(G63)*'Fane 15. Nøgletal'!C26</f>
        <v>0</v>
      </c>
      <c r="H64" s="14" t="s">
        <v>3</v>
      </c>
      <c r="I64" s="1"/>
    </row>
    <row r="65" spans="1:9" x14ac:dyDescent="0.25">
      <c r="A65" s="1"/>
      <c r="B65" s="31"/>
      <c r="C65" s="26"/>
      <c r="D65" s="26"/>
      <c r="E65" s="26"/>
      <c r="F65" s="26"/>
      <c r="G65" s="26"/>
      <c r="H65" s="18"/>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2nw8VqvGswkaNWOhpuXgEMMyhBn7n9IfqQAJ3Yk1cd52LRXSo4KMr4sC4/WR9RhKBJodF8woBk4WJehh9WuMpw==" saltValue="vYHPecq25RzSrC97GMrz8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5" t="s">
        <v>88</v>
      </c>
      <c r="C3" s="115"/>
      <c r="D3" s="115"/>
      <c r="E3" s="115"/>
      <c r="F3" s="115"/>
      <c r="G3" s="115"/>
      <c r="H3" s="1"/>
    </row>
    <row r="4" spans="1:8" ht="15" customHeight="1" x14ac:dyDescent="0.25">
      <c r="A4" s="1"/>
      <c r="B4" s="115"/>
      <c r="C4" s="115"/>
      <c r="D4" s="115"/>
      <c r="E4" s="115"/>
      <c r="F4" s="115"/>
      <c r="G4" s="11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9"/>
      <c r="H8" s="1"/>
    </row>
    <row r="9" spans="1:8" x14ac:dyDescent="0.25">
      <c r="A9" s="1"/>
      <c r="B9" s="132" t="s">
        <v>154</v>
      </c>
      <c r="C9" s="133"/>
      <c r="D9" s="133"/>
      <c r="E9" s="133"/>
      <c r="F9" s="134"/>
      <c r="G9" s="34">
        <v>1.9698439781814576E-2</v>
      </c>
      <c r="H9" s="1"/>
    </row>
    <row r="10" spans="1:8" x14ac:dyDescent="0.25">
      <c r="A10" s="1"/>
      <c r="B10" s="31"/>
      <c r="C10" s="26"/>
      <c r="D10" s="26"/>
      <c r="E10" s="26"/>
      <c r="F10" s="26"/>
      <c r="G10" s="18"/>
      <c r="H10" s="1"/>
    </row>
    <row r="11" spans="1:8" ht="29.25" customHeight="1" x14ac:dyDescent="0.25">
      <c r="A11" s="1"/>
      <c r="B11" s="144" t="s">
        <v>236</v>
      </c>
      <c r="C11" s="145"/>
      <c r="D11" s="145"/>
      <c r="E11" s="145"/>
      <c r="F11" s="145"/>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nd0I44QO4ThsAVj6FgADt9YVhUrB3zqoGhgYmUP0FgNOKfBE4mGtfcKDWucVwig24mR8EYT25HBXAxqQY4x5ew==" saltValue="8KaM3zcSxNKZp0TSaL47x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2022-12-06T10:30:55Z</dcterms:modified>
</cp:coreProperties>
</file>