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E:\VAND\Sagsbehandling\Spildevand\Brønderslev Spildevand AS (S012)\ØR2023\"/>
    </mc:Choice>
  </mc:AlternateContent>
  <bookViews>
    <workbookView xWindow="3120" yWindow="990" windowWidth="12750" windowHeight="4620" tabRatio="872"/>
  </bookViews>
  <sheets>
    <sheet name="1. Forside" sheetId="1" r:id="rId1"/>
    <sheet name="Fane 2.1. Økonomisk ramme 2023" sheetId="2" r:id="rId2"/>
    <sheet name="Fane 2.2. Økonomisk ramme 2024" sheetId="15" r:id="rId3"/>
    <sheet name="Fane 2.3. Økonomisk ramme 2025" sheetId="22" r:id="rId4"/>
    <sheet name="Fane 2.4. Økonomisk ramme 2026" sheetId="23" r:id="rId5"/>
    <sheet name="Fane 3. Omkostninger i ØR2022" sheetId="27" r:id="rId6"/>
    <sheet name="Fane 4.1. Gen. krav - drift" sheetId="30" r:id="rId7"/>
    <sheet name="Fane 4.2. Gen. krav - anlæg" sheetId="36" r:id="rId8"/>
    <sheet name="Fane 5. Individuelt eff. krav" sheetId="31" r:id="rId9"/>
    <sheet name="Fane 6. Ikke-påvirkelige omk." sheetId="19" r:id="rId10"/>
    <sheet name="Fane 7. Kontrol af ØR2021" sheetId="32" r:id="rId11"/>
    <sheet name="Fane 8. Skattesagen" sheetId="41" r:id="rId12"/>
    <sheet name="Fane 9. Korrektion af ØR2021"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calcPr calcId="162913"/>
</workbook>
</file>

<file path=xl/calcChain.xml><?xml version="1.0" encoding="utf-8"?>
<calcChain xmlns="http://schemas.openxmlformats.org/spreadsheetml/2006/main">
  <c r="C16" i="15" l="1"/>
  <c r="E24" i="32" l="1"/>
  <c r="E32" i="32" s="1"/>
  <c r="E34" i="32" s="1"/>
  <c r="C20" i="23" l="1"/>
  <c r="C20" i="22"/>
  <c r="C20" i="15"/>
  <c r="E28" i="32"/>
  <c r="C32" i="2" s="1"/>
  <c r="C14" i="19"/>
  <c r="E34" i="27" l="1"/>
  <c r="C22" i="23"/>
  <c r="C22" i="22"/>
  <c r="C22" i="15"/>
  <c r="C36" i="2"/>
  <c r="G18" i="41" l="1"/>
  <c r="C11" i="29" l="1"/>
  <c r="E11" i="29"/>
  <c r="E11" i="39"/>
  <c r="C11" i="39"/>
  <c r="J11" i="11"/>
  <c r="H11" i="11"/>
  <c r="E16" i="27" l="1"/>
  <c r="E29" i="20" l="1"/>
  <c r="E23" i="20"/>
  <c r="E17" i="20"/>
  <c r="E11" i="20"/>
  <c r="F10" i="11" l="1"/>
  <c r="F11" i="11" s="1"/>
  <c r="E12" i="29" l="1"/>
  <c r="C12" i="29"/>
  <c r="C12" i="21" l="1"/>
  <c r="C13" i="21" s="1"/>
  <c r="C12" i="2" l="1"/>
  <c r="C15" i="2" l="1"/>
  <c r="C14" i="2"/>
  <c r="G6" i="36" l="1"/>
  <c r="C12" i="39" l="1"/>
  <c r="E12" i="39" l="1"/>
  <c r="C26" i="2" l="1"/>
  <c r="C28" i="2" s="1"/>
  <c r="C27" i="2" l="1"/>
  <c r="C29" i="2" s="1"/>
  <c r="C30" i="2" l="1"/>
  <c r="C15" i="19" l="1"/>
  <c r="E24" i="20"/>
  <c r="E25" i="20" s="1"/>
  <c r="C18" i="22" s="1"/>
  <c r="C16" i="23" l="1"/>
  <c r="C16" i="22"/>
  <c r="C22" i="2"/>
  <c r="E30" i="20" l="1"/>
  <c r="E31" i="20" s="1"/>
  <c r="C18" i="23" s="1"/>
  <c r="E16" i="40" l="1"/>
  <c r="E12" i="40" l="1"/>
  <c r="G7" i="30" l="1"/>
  <c r="G11" i="30" s="1"/>
  <c r="E18" i="20" l="1"/>
  <c r="E19" i="20" s="1"/>
  <c r="C18" i="15" s="1"/>
  <c r="E12" i="20"/>
  <c r="E13" i="20" l="1"/>
  <c r="C24" i="2" s="1"/>
  <c r="E17" i="40"/>
  <c r="C34" i="2" s="1"/>
  <c r="E12" i="21" l="1"/>
  <c r="E13" i="21" s="1"/>
  <c r="C13" i="2" l="1"/>
  <c r="G10" i="36" l="1"/>
  <c r="G13" i="36" l="1"/>
  <c r="G17" i="36" s="1"/>
  <c r="G19" i="36" s="1"/>
  <c r="G15" i="30" l="1"/>
  <c r="G19" i="30" s="1"/>
  <c r="G23" i="36" l="1"/>
  <c r="G25" i="36" s="1"/>
  <c r="G21" i="30"/>
  <c r="G29" i="36" l="1"/>
  <c r="G31" i="36" s="1"/>
  <c r="G25" i="30"/>
  <c r="C10" i="37" l="1"/>
  <c r="C13" i="37" s="1"/>
  <c r="C14" i="37" l="1"/>
  <c r="C10" i="2" s="1"/>
  <c r="G44" i="30" s="1"/>
  <c r="G35" i="36"/>
  <c r="G37" i="36" l="1"/>
  <c r="E19" i="27" s="1"/>
  <c r="G41" i="36" l="1"/>
  <c r="G27" i="30"/>
  <c r="G31" i="30" l="1"/>
  <c r="E10" i="37"/>
  <c r="E13" i="37" s="1"/>
  <c r="G33" i="30" l="1"/>
  <c r="G37" i="30" s="1"/>
  <c r="G39" i="30" s="1"/>
  <c r="E14" i="37"/>
  <c r="C11" i="2" l="1"/>
  <c r="G42" i="36" s="1"/>
  <c r="G43" i="36" s="1"/>
  <c r="G53" i="36" l="1"/>
  <c r="G54" i="36" l="1"/>
  <c r="G58" i="36" s="1"/>
  <c r="G43" i="30"/>
  <c r="G45" i="30" s="1"/>
  <c r="E18" i="27"/>
  <c r="E20" i="27" s="1"/>
  <c r="E35" i="27" s="1"/>
  <c r="C19" i="2"/>
  <c r="G59" i="36" l="1"/>
  <c r="G63" i="36" s="1"/>
  <c r="G64" i="36" s="1"/>
  <c r="G52" i="30"/>
  <c r="C18" i="2"/>
  <c r="C9" i="2"/>
  <c r="C13" i="15"/>
  <c r="G53" i="30" l="1"/>
  <c r="G57" i="30" s="1"/>
  <c r="C16" i="2"/>
  <c r="C17" i="2" s="1"/>
  <c r="G58" i="30" l="1"/>
  <c r="G62" i="30" s="1"/>
  <c r="G63" i="30" s="1"/>
  <c r="C12" i="15"/>
  <c r="C13" i="23" l="1"/>
  <c r="C20" i="2"/>
  <c r="C37" i="2" s="1"/>
  <c r="C13" i="22"/>
  <c r="C12" i="23" l="1"/>
  <c r="C12" i="22"/>
  <c r="C9" i="15"/>
  <c r="C10" i="15" s="1"/>
  <c r="C11" i="15" l="1"/>
  <c r="C14" i="15" s="1"/>
  <c r="C23" i="15" s="1"/>
  <c r="C9" i="22" l="1"/>
  <c r="C10" i="22" l="1"/>
  <c r="C11" i="22" s="1"/>
  <c r="C14" i="22" s="1"/>
  <c r="C23" i="22" s="1"/>
  <c r="C9" i="23" l="1"/>
  <c r="C10" i="23" l="1"/>
  <c r="C11" i="23" s="1"/>
  <c r="C14" i="23" s="1"/>
  <c r="C23" i="23" s="1"/>
</calcChain>
</file>

<file path=xl/sharedStrings.xml><?xml version="1.0" encoding="utf-8"?>
<sst xmlns="http://schemas.openxmlformats.org/spreadsheetml/2006/main" count="610" uniqueCount="290">
  <si>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</si>
  <si>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</si>
  <si>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</si>
  <si>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</si>
  <si>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</si>
  <si>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</si>
  <si>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</si>
  <si>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</si>
  <si>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</si>
  <si>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</si>
  <si>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</si>
  <si>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</si>
  <si>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</si>
  <si>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</si>
  <si>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</si>
  <si>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</si>
  <si>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</si>
  <si>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</si>
  <si>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</si>
  <si>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</si>
  <si>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</si>
  <si>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</si>
  <si>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Vejledende</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</si>
  <si>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</si>
  <si>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</si>
  <si>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</si>
  <si>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</si>
  <si>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</si>
  <si>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Tidligere tilknyttet aktivitet - Anlæg</t>
  </si>
  <si>
    <t>Tidligere tilknyttet aktivitet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</si>
  <si>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</si>
  <si>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</si>
  <si>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</si>
  <si>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</si>
  <si>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</si>
  <si>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</si>
  <si>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</si>
  <si>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</si>
  <si>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</si>
  <si>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</si>
  <si>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</si>
  <si>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Driftsomkostninger i grundlaget til de økonomiske rammer for 2017</t>
  </si>
  <si>
    <t>Generelt effektiviseringskrav til driftsomkostningerne i ØR17</t>
  </si>
  <si>
    <t>Base for driftsomkostninger til de økonomiske rammer for 2018</t>
  </si>
  <si>
    <t>Nye driftsomkostninger til de økonomiske rammer for 2018</t>
  </si>
  <si>
    <t>Generelt effektiviseringskrav til driftsomkostningerne i ØR18</t>
  </si>
  <si>
    <t>Base for driftsomkostninger til de økonomiske rammer for 2019</t>
  </si>
  <si>
    <t>Nye driftsomkostninger til de økonomiske rammer for 2019</t>
  </si>
  <si>
    <t>Generelt effektiviseringskrav til driftsomkostningerne i ØR19</t>
  </si>
  <si>
    <t>Base for driftsomkostninger til de økonomiske rammer for 2020</t>
  </si>
  <si>
    <t>Nye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</si>
  <si>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</si>
  <si>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</si>
  <si>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</si>
  <si>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</si>
  <si>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</si>
  <si>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</si>
  <si>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</si>
  <si>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</si>
  <si>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</si>
  <si>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</si>
  <si>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</si>
  <si>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</si>
  <si>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</si>
  <si>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</si>
  <si>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</si>
  <si>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</si>
  <si>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</si>
  <si>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</si>
  <si>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</si>
  <si>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</si>
  <si>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</si>
  <si>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</si>
  <si>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</si>
  <si>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</si>
  <si>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</si>
  <si>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</si>
  <si>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anlægsomkostninger til de vejledende økonomiske rammer for 2023</t>
  </si>
  <si>
    <t>Base for anlægsomkostninger til de vejledende økonomiske rammer for 2022</t>
  </si>
  <si>
    <t>Base for driftsomkostninger til de vejledende økonomiske rammer for 2022</t>
  </si>
  <si>
    <t>Nye varige tillæg</t>
  </si>
  <si>
    <t>Engangstillæg - Drift</t>
  </si>
  <si>
    <t>Engangstillæg - Anlæg</t>
  </si>
  <si>
    <t>Fane 7</t>
  </si>
  <si>
    <t>Varige tillæg</t>
  </si>
  <si>
    <t>Engangstillæg</t>
  </si>
  <si>
    <t>Periodevise driftsomkostninger</t>
  </si>
  <si>
    <t>Engangstillæg i alt</t>
  </si>
  <si>
    <t>Fane 5: Individuelt effektiviseringskrav</t>
  </si>
  <si>
    <t>Bortfald eller nedsættelse i alt i 2022-prisniveau</t>
  </si>
  <si>
    <t>Økonomisk ramme for 2023</t>
  </si>
  <si>
    <t>Periodevise driftsomkostninger til de økonomiske rammer for 2023</t>
  </si>
  <si>
    <t>Periodevise driftsomkostninger i alt i 2023-prisniveau</t>
  </si>
  <si>
    <t>Bortfald eller nedsættelse fra og med de økonomiske rammer for 2023</t>
  </si>
  <si>
    <t>Korrektion af tidligere godkendte omkostninger til medfinansiering af klimatilpasningsprojekter</t>
  </si>
  <si>
    <t>Generelt effektiviseringskrav på drift</t>
  </si>
  <si>
    <t>Generelt effektiviseringskrav på anlæg</t>
  </si>
  <si>
    <t>Engangstillæg til de økonomiske rammer for 2023</t>
  </si>
  <si>
    <t>Tillæg til tilbagebetaling af vejbidrag</t>
  </si>
  <si>
    <t>Tillæg til den økonomiske ramme for 2023</t>
  </si>
  <si>
    <t>Samlede tillæg til periodevise driftsomkostninger jf. indmeldte oprensningsplan</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</si>
  <si>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</si>
  <si>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</si>
  <si>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</si>
  <si>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</si>
  <si>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</si>
  <si>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</si>
  <si>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</si>
  <si>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</si>
  <si>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</si>
  <si>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</si>
  <si>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</si>
  <si>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Prisudvikling til brug for ØR2017</t>
  </si>
  <si>
    <t>Prisudvikling til brug for ØR2018-2019</t>
  </si>
  <si>
    <t>Generelt effektiviseringskrav til brug for anlægsomkostninger i ØR2017</t>
  </si>
  <si>
    <t>Generelt effektiviseringskrav til brug for anlægsomkostninger i ØR2020-2021</t>
  </si>
  <si>
    <t>Generelt effektiviseringskrav til brug for driftsomkostninger</t>
  </si>
  <si>
    <t>Tillæg til medfinansieringsprojekter godkendt under prisloftsbekendtgørelsen</t>
  </si>
  <si>
    <t>Periodevise driftsomkostninger i den økonomiske ramme for 2018</t>
  </si>
  <si>
    <t>Fane 3</t>
  </si>
  <si>
    <t>Periodevise driftsomkostninger i den økonomiske ramme for 2017</t>
  </si>
  <si>
    <t>Korrektion af driftsomkostninger i grundlaget</t>
  </si>
  <si>
    <t>Korrektion af anlægsomkostninger i grundlaget</t>
  </si>
  <si>
    <t>Korrektion af den økonomiske ramme for 2019</t>
  </si>
  <si>
    <t>Tidligere tilknyttet virksomhed - Drift</t>
  </si>
  <si>
    <t>Tidligere tilknyttet virksomhed - Anlæg</t>
  </si>
  <si>
    <t>Videreførte omkostninger fra den økonomiske ramme for 2022</t>
  </si>
  <si>
    <t>Videreførte omkostninger fra den økonomiske ramme for 2023</t>
  </si>
  <si>
    <t>Økonomisk ramme for 2024</t>
  </si>
  <si>
    <t>Tillæg til den økonomiske ramme for 2024</t>
  </si>
  <si>
    <t>Periodevise driftsomkostninger til de økonomiske rammer for 2024</t>
  </si>
  <si>
    <t>Periodevise driftsomkostninger i alt i 2024-prisniveau</t>
  </si>
  <si>
    <t>Tilknyttet virksomhed under hovedvirksomheden</t>
  </si>
  <si>
    <t>Beskrivelse af tilknyttet virksomhed</t>
  </si>
  <si>
    <t>Tilknyttet virksomhed</t>
  </si>
  <si>
    <t>Prisudvikling til brug for nye omkostninger i ØR2021</t>
  </si>
  <si>
    <t>Engangstillæg i alt i 2023-prisniveau</t>
  </si>
  <si>
    <t>Nye driftsomkostninger til de økonomiske rammer for 2021</t>
  </si>
  <si>
    <t>Vejledende generelt effektiviseringskrav til driftsomkostningerne i ØR24</t>
  </si>
  <si>
    <t>Nye anlægsomkostninger til de økonomiske rammer for 2021</t>
  </si>
  <si>
    <t>Base for anlægsomkostninger til de vejledende økonomiske rammer for 2024</t>
  </si>
  <si>
    <t>Vejledende generelt effektiviseringskrav til anlægsomkostningerne i ØR24</t>
  </si>
  <si>
    <t>Fradrag for kontrol af den økonomiske ramme</t>
  </si>
  <si>
    <t>Kontrol med overholdelse af økonomiske rammer</t>
  </si>
  <si>
    <t>Kontrol med de økonomiske rammer til indregning</t>
  </si>
  <si>
    <t>Generelt effektiviseringskrav til brug for anlægsomkostninger i ØR2018</t>
  </si>
  <si>
    <t>Generelt effektiviseringskrav til brug for anlægsomkostninger i ØR2019</t>
  </si>
  <si>
    <t>Generelt effektiviseringskrav til brug for anlægsomkostninger i ØR2021</t>
  </si>
  <si>
    <t>Generelt effektiviseringskrav til brug for anlægsomkostninger i ØR2022</t>
  </si>
  <si>
    <t>Økonomisk ramme for 2025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</si>
  <si>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</si>
  <si>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</si>
  <si>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</si>
  <si>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Generelt effektiviseringskrav til anlægsomkostninger i de vejledende økonomiske rammer for 2025</t>
  </si>
  <si>
    <t>Individuelt effektiviseringskrav til de økonomiske rammer for 2022-2023</t>
  </si>
  <si>
    <t>Tillæg til den økonomiske ramme for 2025</t>
  </si>
  <si>
    <t>Nye tillæg i alt i 2021-prisniveau</t>
  </si>
  <si>
    <t>Periodevise driftsomkostninger til de økonomiske rammer for 2025</t>
  </si>
  <si>
    <t>Periodevise driftsomkostninger i alt i 2025-prisniveau</t>
  </si>
  <si>
    <t>Tilknyttet virksomhed under hovedvirksomheden i alt (2021-prisniveau)</t>
  </si>
  <si>
    <t>Generelt effektiviseringskrav til driftsomkostninger i de økonomiske rammer for 2022</t>
  </si>
  <si>
    <t>Generelt effektiviseringskrav til driftsomkostninger i de økonomiske rammer for 2023</t>
  </si>
  <si>
    <t>Generelt effektiviseringskrav til driftsomkostningerne i ØR22</t>
  </si>
  <si>
    <t>Generelt effektiviseringskrav til driftsomkostningerne i ØR23</t>
  </si>
  <si>
    <t>Nye driftsomkostninger til de økonomiske rammer for 2022</t>
  </si>
  <si>
    <t>Generelt effektiviseringskrav til anlægsomkostninger i de økonomiske rammer for 2022</t>
  </si>
  <si>
    <t>Generelt effektiviseringskrav til anlægsomkostningerne i ØR22</t>
  </si>
  <si>
    <t>Nye anlægsomkostninger til de økonomiske rammer for 2022</t>
  </si>
  <si>
    <t>Generelt effektiviseringskrav til anlægsomkostningerne i ØR23</t>
  </si>
  <si>
    <t>Samlet økonomisk ramme for 2023</t>
  </si>
  <si>
    <t>Vejledende økonomisk ramme for 2025</t>
  </si>
  <si>
    <t>Prisudvikling til brug for ØR2022-2023</t>
  </si>
  <si>
    <t>Prisudvikling til brug for nye omkostninger i ØR2020</t>
  </si>
  <si>
    <t>Base for anlægsomkostninger til de vejledende økonomiske rammer for 2025</t>
  </si>
  <si>
    <t>Vejledende generelt effektiviseringskrav til anlægsomkostningerne i ØR25</t>
  </si>
  <si>
    <t xml:space="preserve">Indtægter fra tilbagebetalt skat eller sambeskatningsbidrag som følge af skattesagen </t>
  </si>
  <si>
    <t xml:space="preserve">Nedsættelse af økonomisk ramme som følge af skattesagen </t>
  </si>
  <si>
    <t>Ingen bortfald eller nedsættelse</t>
  </si>
  <si>
    <t>Tidligere opgjorte over/underdækninger</t>
  </si>
  <si>
    <t>Allerede indregnet fradrag i jeres økonomiske rammer</t>
  </si>
  <si>
    <t>Kontrol med overholdelse af den økonomiske ramme</t>
  </si>
  <si>
    <t>Fane 2.1: Samlet økonomisk ramme for 2023</t>
  </si>
  <si>
    <t>Vejledende økonomisk ramme for 2026</t>
  </si>
  <si>
    <t>Omkostninger i ØR2022</t>
  </si>
  <si>
    <t>Kontrol af den økonomiske ramme for 2021</t>
  </si>
  <si>
    <t>Korrektion af den økonomiske ramme for 2021</t>
  </si>
  <si>
    <t>Fane 2.2: Samlet økonomisk ramme for 2024</t>
  </si>
  <si>
    <t>Fane 2.3: Samlet økonomisk ramme for 2025</t>
  </si>
  <si>
    <t>Fane 2.4: Samlet økonomisk ramme for 2026</t>
  </si>
  <si>
    <t>Videreførte omkostninger fra den økonomiske ramme for 2025</t>
  </si>
  <si>
    <t>Økonomisk ramme for 2026</t>
  </si>
  <si>
    <t>Fane 3: Videreførte omkostninger fra den økonomiske ramme for 2022</t>
  </si>
  <si>
    <t>Videreførte omkostninger fra den økonomiske ramme for 2021</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</si>
  <si>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</si>
  <si>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</si>
  <si>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</si>
  <si>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</si>
  <si>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</si>
  <si>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</si>
  <si>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Faktiske ikke-påvirkelige omkostninger i 2021</t>
  </si>
  <si>
    <t>Ikke-påvirkelige omkostninger i 2021-prisniveau</t>
  </si>
  <si>
    <t>Ikke-påvirkelige omkostninger i 2023-prisniveau</t>
  </si>
  <si>
    <t>Tillæg til den økonomiske ramme for 2026</t>
  </si>
  <si>
    <t>Fane 7: Kontrol med overholdelse af den økonomiske ramme for 2021</t>
  </si>
  <si>
    <t>Over/underdækning i 2020</t>
  </si>
  <si>
    <t>Kontrol med overholdelse af den økonomiske ramme for 2021</t>
  </si>
  <si>
    <t>Indtægtsramme i den økonomiske ramme for 2021</t>
  </si>
  <si>
    <t>Faktiske indtægter i 2021</t>
  </si>
  <si>
    <t>Korrektion af periodevise driftsomkostninger i de økonomiske rammer for 2021</t>
  </si>
  <si>
    <t>Faktisk periodevis driftsomkostning i 2021</t>
  </si>
  <si>
    <t>Tidligere godkendt tillæg indregnet i den økonomiske ramme for 2021</t>
  </si>
  <si>
    <t>Faktisk omkostning til medfinansiering af klimatilpasningsprojekter i 2021</t>
  </si>
  <si>
    <t>Korrektioner af den økonomiske ramme for 2021 i alt</t>
  </si>
  <si>
    <t>Nye tillæg i alt i 2022-prisniveau</t>
  </si>
  <si>
    <t>Periodevise driftsomkostninger til de økonomiske rammer for 2026</t>
  </si>
  <si>
    <t>Periodevise driftsomkostninger i alt i 2026-prisniveau</t>
  </si>
  <si>
    <t>Generelt effektiviseringskrav til brug for anlægsomkostninger i ØR2023</t>
  </si>
  <si>
    <t>Tilknyttet virksomhed under hovedvirksomheden i alt (2022-prisniveau)</t>
  </si>
  <si>
    <t>Oversigt over den økonomiske ramme for 2021</t>
  </si>
  <si>
    <t>Økonomisk ramme for 2022</t>
  </si>
  <si>
    <t>Anlægsprojekter igangsat senest den 1. marts 2016</t>
  </si>
  <si>
    <t>Anlægsprojekter igangsat senest den 1. marts 2016 i alt</t>
  </si>
  <si>
    <t>Generelt effektiviseringskrav til anlægsomkostninger i de økonomiske rammer for 2023</t>
  </si>
  <si>
    <t xml:space="preserve">Note: Denne opgørelse er taget fra jeres økonomiske ramme for 2022. I kan derfor ikke komme med høringssvar til denne opgørelse. </t>
  </si>
  <si>
    <t>Prisudvikling til brug for ØR2023-2024</t>
  </si>
  <si>
    <t>Periodevise driftsomkostninger i alt i 2021-prisniveau</t>
  </si>
  <si>
    <t>Til statusmeddelelse for 2023</t>
  </si>
  <si>
    <t>Anlægsprojekter igangsat senest 1. marts 2016</t>
  </si>
  <si>
    <t>Base for driftsomkostninger til de økonomiske rammer for 2024</t>
  </si>
  <si>
    <t>Base for driftsomkostninger til de økonomiske rammer for 2023</t>
  </si>
  <si>
    <t>Nye varige anlægsomkostninger til de økonomiske rammer for 2023</t>
  </si>
  <si>
    <t>Nye varige driftsomkostninger til de økonomiske rammer for 2023</t>
  </si>
  <si>
    <t xml:space="preserve">Engangstillæg - Drift </t>
  </si>
  <si>
    <t>Engangstillæg i alt i 2021-prisniveau</t>
  </si>
  <si>
    <t>Videreførte omkostninger fra den økonomiske ramme for 2024</t>
  </si>
  <si>
    <t>Bortfald eller nedsættelse i alt i 2021-prisniveau</t>
  </si>
  <si>
    <t>Vejledende økonomisk ramme for 2024</t>
  </si>
  <si>
    <t xml:space="preserve">Note: Denne opgørelse er taget fra jeres afgørelse for den økonomiske ramme for 2022. I kan derfor ikke komme med høringssvar til denne opgørelse. </t>
  </si>
  <si>
    <t xml:space="preserve">Anlægsprojekter (§ 19) </t>
  </si>
  <si>
    <t>Effektiviseringskrav (generelt og individuelt) - Drift</t>
  </si>
  <si>
    <t>Effektiviseringskrav (generelt og individuelt) - Anlæg</t>
  </si>
  <si>
    <t>Omkostninger i 2021</t>
  </si>
  <si>
    <t>Generelt effektiviseringskrav til driftsomkostninger i de vejledende økonomiske rammer for 2024</t>
  </si>
  <si>
    <t>Generelt effektiviseringskrav til anlægsomkostninger i de vejledende økonomiske rammer for 2024</t>
  </si>
  <si>
    <t xml:space="preserve">kr. </t>
  </si>
  <si>
    <t>Drifts-omkostninger</t>
  </si>
  <si>
    <t>Anskaffelses-pris</t>
  </si>
  <si>
    <t>Fane 10</t>
  </si>
  <si>
    <t>Fane 11.1</t>
  </si>
  <si>
    <t>Fane 11.2</t>
  </si>
  <si>
    <t>Fane 15</t>
  </si>
  <si>
    <t>Fane 8: Indtægter til tilbagebetaling som følge af skattesagen</t>
  </si>
  <si>
    <t>Fradrag i de økonomiske ramme i årene</t>
  </si>
  <si>
    <t>Samlet tilbagebetaling</t>
  </si>
  <si>
    <t>Skattesagen</t>
  </si>
  <si>
    <t>Fane 9: Korrektioner af den økonomiske ramme for 2021</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</si>
  <si>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</si>
  <si>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</si>
  <si>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</si>
  <si>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</si>
  <si>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</si>
  <si>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</si>
  <si>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</si>
  <si>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</si>
  <si>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Korrigeret over/underdækning i 2020</t>
  </si>
  <si>
    <t>Til indregning i de økonomiske rammer for 2024-2027</t>
  </si>
  <si>
    <t>Spildevandsafgift</t>
  </si>
  <si>
    <t>Afgift til Forsyningssekretariatet</t>
  </si>
  <si>
    <t>Køb af ydelser og produkter fra andre vandselskaber reguleret af vandsektorloven</t>
  </si>
  <si>
    <t>Erstatninger</t>
  </si>
  <si>
    <t>Resultat af kontrol med overholdelse af den økonomiske ramme for 2021</t>
  </si>
  <si>
    <t>Ingen tilknyttet virksomhed under hovedvirksomheden</t>
  </si>
  <si>
    <t>Byggemodninger</t>
  </si>
  <si>
    <t>Foring, regnvandsbassiner og separering</t>
  </si>
  <si>
    <t>Ingen anlægsprojekter</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</si>
  <si>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</si>
  <si>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</si>
  <si>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</si>
  <si>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</si>
  <si>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</si>
  <si>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</si>
  <si>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</si>
  <si>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</si>
  <si>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Indregnet fradrag i økonomisk ramme for 2022</t>
  </si>
  <si>
    <t>Indregnet fradrag i økonomisk ramme for 2023</t>
  </si>
  <si>
    <t>Korrektion af fradrag i den økonomiske ramme for 2023</t>
  </si>
  <si>
    <t>Tillæg/fradrag i den økonnomiske ramme for 2023</t>
  </si>
  <si>
    <t>Ingen engangstillæg</t>
  </si>
  <si>
    <t>Note: Opgørelsen af overholdelse af de økonomiske rammer og korrektioner heraf er taget fra jeres tidligere fremsendte økonomiske rammer og statusmeddelelser. I kan derfor ikke komme med høringssvar til denne opgørelse. Positive værdier er udtryk for at rammerne er overholdt (underdækning) og negative værdier er udtryk for at rammerne ikke er overholdt (overdækning). Korrigeret over/underdækning i 2020 tager højde for evt. modregninger af over/underdækninger fra tidligere år.</t>
  </si>
  <si>
    <t xml:space="preserve">Note: Opgørelsen af over/underdækningen er taget fra jeres tidligere fremsendte økonomiske rammer og statusmeddelelser. I kan derfor ikke komme med høringssvar til denne opgørelse.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</si>
</sst>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 #,##0_ ;_ * \-#,##0_ ;_ * &quot;-&quot;??_ ;_ @_ "/>
    <numFmt numFmtId="166" formatCode="_-* #,##0.00\ _k_r_._-;\-* #,##0.00\ _k_r_._-;_-* &quot;-&quot;??\ _k_r_._-;_-@_-"/>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b/>
      <sz val="10"/>
      <color theme="1"/>
      <name val="Times New Roman"/>
      <family val="1"/>
    </font>
  </fonts>
  <fills count="11">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69">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2" fillId="2" borderId="0" xfId="0" applyFont="1" applyFill="1" applyAlignment="1" applyProtection="1">
      <alignment vertical="center" wrapText="1"/>
    </xf>
    <xf numFmtId="0" fontId="8" fillId="4" borderId="6" xfId="0" applyFont="1" applyFill="1" applyBorder="1" applyAlignment="1" applyProtection="1"/>
    <xf numFmtId="0" fontId="8" fillId="4" borderId="3" xfId="0" applyFont="1" applyFill="1" applyBorder="1" applyAlignment="1" applyProtection="1"/>
    <xf numFmtId="3" fontId="8" fillId="4" borderId="2" xfId="0" applyNumberFormat="1" applyFont="1" applyFill="1" applyBorder="1" applyProtection="1"/>
    <xf numFmtId="0" fontId="8" fillId="8" borderId="3" xfId="0" applyFont="1" applyFill="1" applyBorder="1" applyProtection="1"/>
    <xf numFmtId="1" fontId="8" fillId="0" borderId="1" xfId="0" applyNumberFormat="1" applyFont="1" applyFill="1" applyBorder="1" applyProtection="1"/>
    <xf numFmtId="10" fontId="8" fillId="0" borderId="1" xfId="4" applyNumberFormat="1" applyFont="1" applyFill="1" applyBorder="1" applyAlignment="1" applyProtection="1"/>
    <xf numFmtId="49" fontId="8" fillId="0" borderId="2" xfId="0" applyNumberFormat="1" applyFont="1" applyFill="1" applyBorder="1" applyAlignment="1" applyProtection="1">
      <alignment horizontal="left"/>
    </xf>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5" fontId="8" fillId="0" borderId="1" xfId="1" applyNumberFormat="1" applyFont="1" applyFill="1" applyBorder="1" applyProtection="1"/>
    <xf numFmtId="166" fontId="0" fillId="2" borderId="0" xfId="0" applyNumberFormat="1" applyFill="1" applyProtection="1"/>
    <xf numFmtId="3" fontId="0" fillId="2" borderId="0" xfId="0" applyNumberFormat="1" applyFill="1" applyProtection="1"/>
    <xf numFmtId="0" fontId="0" fillId="0" borderId="0" xfId="0" applyFill="1" applyProtection="1"/>
    <xf numFmtId="0" fontId="0" fillId="0" borderId="0" xfId="0" applyFill="1" applyBorder="1" applyProtection="1"/>
    <xf numFmtId="3" fontId="15" fillId="4" borderId="1" xfId="0" applyNumberFormat="1" applyFont="1" applyFill="1" applyBorder="1" applyProtection="1"/>
    <xf numFmtId="0" fontId="14" fillId="3" borderId="1" xfId="0" applyFont="1" applyFill="1" applyBorder="1" applyProtection="1"/>
    <xf numFmtId="0" fontId="15" fillId="4" borderId="1" xfId="0" applyFont="1" applyFill="1" applyBorder="1" applyAlignment="1" applyProtection="1">
      <alignment wrapText="1"/>
    </xf>
    <xf numFmtId="0" fontId="15" fillId="4" borderId="2" xfId="0" applyFont="1" applyFill="1" applyBorder="1" applyAlignment="1" applyProtection="1">
      <alignment horizontal="left"/>
    </xf>
    <xf numFmtId="0" fontId="14" fillId="3" borderId="2" xfId="0" applyFont="1" applyFill="1" applyBorder="1" applyAlignment="1" applyProtection="1"/>
    <xf numFmtId="0" fontId="14" fillId="3" borderId="6" xfId="0" applyFont="1" applyFill="1" applyBorder="1" applyAlignment="1" applyProtection="1"/>
    <xf numFmtId="3" fontId="7" fillId="3" borderId="2" xfId="0" applyNumberFormat="1" applyFont="1" applyFill="1" applyBorder="1" applyAlignment="1" applyProtection="1"/>
    <xf numFmtId="0" fontId="8" fillId="4" borderId="1" xfId="0" applyFont="1" applyFill="1" applyBorder="1" applyAlignment="1" applyProtection="1">
      <alignment horizontal="lef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8" borderId="1" xfId="1" applyNumberFormat="1" applyFont="1" applyFill="1" applyBorder="1" applyProtection="1"/>
    <xf numFmtId="10" fontId="8" fillId="10" borderId="3" xfId="4" applyNumberFormat="1" applyFont="1" applyFill="1" applyBorder="1" applyAlignment="1" applyProtection="1"/>
    <xf numFmtId="10" fontId="8" fillId="10" borderId="3" xfId="4" applyNumberFormat="1" applyFont="1" applyFill="1" applyBorder="1" applyProtection="1"/>
    <xf numFmtId="3" fontId="8" fillId="4" borderId="3" xfId="0" applyNumberFormat="1" applyFont="1" applyFill="1" applyBorder="1" applyAlignment="1" applyProtection="1">
      <alignment horizontal="right"/>
    </xf>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13" fillId="2" borderId="0" xfId="0" applyFont="1" applyFill="1" applyAlignment="1" applyProtection="1">
      <alignment horizontal="center"/>
    </xf>
    <xf numFmtId="0" fontId="8" fillId="8" borderId="2" xfId="0" quotePrefix="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1" xfId="0" applyFont="1" applyFill="1" applyBorder="1" applyAlignment="1" applyProtection="1">
      <alignment horizontal="left"/>
    </xf>
    <xf numFmtId="0" fontId="8" fillId="4" borderId="3" xfId="0" applyFont="1" applyFill="1" applyBorder="1" applyAlignment="1" applyProtection="1">
      <alignment horizontal="left"/>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2" fillId="2" borderId="0" xfId="0" applyFont="1" applyFill="1" applyAlignment="1" applyProtection="1">
      <alignment horizontal="center" vertical="center" wrapText="1"/>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2" fillId="2" borderId="0" xfId="0" applyFont="1" applyFill="1" applyAlignment="1" applyProtection="1">
      <alignment horizontal="center" wrapText="1"/>
    </xf>
    <xf numFmtId="0" fontId="2" fillId="2" borderId="7" xfId="0" applyFont="1" applyFill="1" applyBorder="1" applyAlignment="1" applyProtection="1">
      <alignment horizontal="center" wrapText="1"/>
    </xf>
    <xf numFmtId="0" fontId="8" fillId="8" borderId="2" xfId="0" applyFont="1" applyFill="1" applyBorder="1" applyAlignment="1" applyProtection="1">
      <alignment horizontal="center" vertical="top" wrapText="1"/>
    </xf>
    <xf numFmtId="0" fontId="8" fillId="8" borderId="6" xfId="0" applyFont="1" applyFill="1" applyBorder="1" applyAlignment="1" applyProtection="1">
      <alignment horizontal="center" vertical="top" wrapText="1"/>
    </xf>
    <xf numFmtId="0" fontId="8" fillId="8" borderId="3" xfId="0" applyFont="1" applyFill="1" applyBorder="1" applyAlignment="1" applyProtection="1">
      <alignment horizontal="center" vertical="top"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cellXfs>
  <cellStyles count="5">
    <cellStyle name="Komma" xfId="1" builtinId="3"/>
    <cellStyle name="Link" xfId="2" builtinId="8"/>
    <cellStyle name="Normal" xfId="0" builtinId="0"/>
    <cellStyle name="Normal 12" xfId="3"/>
    <cellStyle name="Procent" xfId="4" builtinId="5"/>
  </cellStyles>
  <dxfs count="0"/>
  <tableStyles count="0" defaultTableStyle="TableStyleMedium2" defaultPivotStyle="PivotStyleLight16"/>
  <colors>
    <mruColors>
      <color rgb="FFB6DDF3"/>
      <color rgb="FFF2DCDB"/>
      <color rgb="FFD9D9D9"/>
      <color rgb="FF650816"/>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I51"/>
  <sheetViews>
    <sheetView showGridLines="0" tabSelected="1" view="pageLayout" zoomScale="85" zoomScaleNormal="100" zoomScalePageLayoutView="85"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7" width="9.140625" style="2"/>
    <col min="8" max="8" width="6.85546875" style="2" customWidth="1"/>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115" t="s">
        <v>4</v>
      </c>
      <c r="E6" s="115"/>
      <c r="F6" s="115"/>
      <c r="G6" s="115"/>
      <c r="H6" s="3"/>
      <c r="I6" s="1"/>
    </row>
    <row r="7" spans="1:9" ht="15" customHeight="1" x14ac:dyDescent="0.25">
      <c r="A7" s="1"/>
      <c r="B7" s="1"/>
      <c r="C7" s="3"/>
      <c r="D7" s="115"/>
      <c r="E7" s="115"/>
      <c r="F7" s="115"/>
      <c r="G7" s="115"/>
      <c r="H7" s="3"/>
      <c r="I7" s="1"/>
    </row>
    <row r="8" spans="1:9" ht="15.75" x14ac:dyDescent="0.25">
      <c r="A8" s="1"/>
      <c r="B8" s="1"/>
      <c r="C8" s="4"/>
      <c r="D8" s="120" t="s">
        <v>226</v>
      </c>
      <c r="E8" s="120"/>
      <c r="F8" s="120"/>
      <c r="G8" s="120"/>
      <c r="H8" s="4"/>
      <c r="I8" s="5"/>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119" t="s">
        <v>5</v>
      </c>
      <c r="E11" s="119"/>
      <c r="F11" s="119"/>
      <c r="G11" s="119"/>
      <c r="H11" s="5"/>
      <c r="I11" s="1"/>
    </row>
    <row r="12" spans="1:9" x14ac:dyDescent="0.25">
      <c r="A12" s="1"/>
      <c r="B12" s="1"/>
      <c r="C12" s="1"/>
      <c r="D12" s="1"/>
      <c r="E12" s="1"/>
      <c r="F12" s="1"/>
      <c r="G12" s="1"/>
      <c r="H12" s="5"/>
      <c r="I12" s="1"/>
    </row>
    <row r="13" spans="1:9" x14ac:dyDescent="0.25">
      <c r="A13" s="1"/>
      <c r="B13" s="1"/>
      <c r="C13" s="6" t="s">
        <v>6</v>
      </c>
      <c r="D13" s="121" t="s">
        <v>169</v>
      </c>
      <c r="E13" s="122"/>
      <c r="F13" s="122"/>
      <c r="G13" s="123"/>
      <c r="H13" s="5"/>
      <c r="I13" s="1"/>
    </row>
    <row r="14" spans="1:9" x14ac:dyDescent="0.25">
      <c r="A14" s="1"/>
      <c r="B14" s="1"/>
      <c r="C14" s="6" t="s">
        <v>16</v>
      </c>
      <c r="D14" s="112" t="s">
        <v>236</v>
      </c>
      <c r="E14" s="113"/>
      <c r="F14" s="113"/>
      <c r="G14" s="114"/>
      <c r="H14" s="5"/>
      <c r="I14" s="1"/>
    </row>
    <row r="15" spans="1:9" x14ac:dyDescent="0.25">
      <c r="A15" s="1"/>
      <c r="B15" s="1"/>
      <c r="C15" s="6" t="s">
        <v>34</v>
      </c>
      <c r="D15" s="112" t="s">
        <v>170</v>
      </c>
      <c r="E15" s="113"/>
      <c r="F15" s="113"/>
      <c r="G15" s="114"/>
      <c r="H15" s="5"/>
      <c r="I15" s="1"/>
    </row>
    <row r="16" spans="1:9" x14ac:dyDescent="0.25">
      <c r="A16" s="1"/>
      <c r="B16" s="1"/>
      <c r="C16" s="6" t="s">
        <v>35</v>
      </c>
      <c r="D16" s="112" t="s">
        <v>182</v>
      </c>
      <c r="E16" s="113"/>
      <c r="F16" s="113"/>
      <c r="G16" s="114"/>
      <c r="H16" s="5"/>
      <c r="I16" s="1"/>
    </row>
    <row r="17" spans="1:9" x14ac:dyDescent="0.25">
      <c r="A17" s="1"/>
      <c r="B17" s="1"/>
      <c r="C17" s="6" t="s">
        <v>119</v>
      </c>
      <c r="D17" s="112" t="s">
        <v>183</v>
      </c>
      <c r="E17" s="113"/>
      <c r="F17" s="113"/>
      <c r="G17" s="114"/>
      <c r="H17" s="5"/>
      <c r="I17" s="1"/>
    </row>
    <row r="18" spans="1:9" x14ac:dyDescent="0.25">
      <c r="A18" s="1"/>
      <c r="B18" s="1"/>
      <c r="C18" s="6" t="s">
        <v>106</v>
      </c>
      <c r="D18" s="109" t="s">
        <v>95</v>
      </c>
      <c r="E18" s="110"/>
      <c r="F18" s="110"/>
      <c r="G18" s="111"/>
      <c r="H18" s="5"/>
      <c r="I18" s="1"/>
    </row>
    <row r="19" spans="1:9" x14ac:dyDescent="0.25">
      <c r="A19" s="1"/>
      <c r="B19" s="1"/>
      <c r="C19" s="6" t="s">
        <v>107</v>
      </c>
      <c r="D19" s="109" t="s">
        <v>96</v>
      </c>
      <c r="E19" s="110"/>
      <c r="F19" s="110"/>
      <c r="G19" s="111"/>
      <c r="H19" s="5"/>
      <c r="I19" s="1"/>
    </row>
    <row r="20" spans="1:9" x14ac:dyDescent="0.25">
      <c r="A20" s="1"/>
      <c r="B20" s="1"/>
      <c r="C20" s="6" t="s">
        <v>7</v>
      </c>
      <c r="D20" s="109" t="s">
        <v>10</v>
      </c>
      <c r="E20" s="110"/>
      <c r="F20" s="110"/>
      <c r="G20" s="111"/>
      <c r="H20" s="5"/>
      <c r="I20" s="1"/>
    </row>
    <row r="21" spans="1:9" x14ac:dyDescent="0.25">
      <c r="A21" s="1"/>
      <c r="B21" s="1"/>
      <c r="C21" s="6" t="s">
        <v>108</v>
      </c>
      <c r="D21" s="116" t="s">
        <v>12</v>
      </c>
      <c r="E21" s="117"/>
      <c r="F21" s="117"/>
      <c r="G21" s="118"/>
      <c r="H21" s="5"/>
      <c r="I21" s="1"/>
    </row>
    <row r="22" spans="1:9" x14ac:dyDescent="0.25">
      <c r="A22" s="1"/>
      <c r="B22" s="1"/>
      <c r="C22" s="6" t="s">
        <v>83</v>
      </c>
      <c r="D22" s="103" t="s">
        <v>184</v>
      </c>
      <c r="E22" s="104"/>
      <c r="F22" s="104"/>
      <c r="G22" s="105"/>
      <c r="H22" s="5"/>
      <c r="I22" s="1"/>
    </row>
    <row r="23" spans="1:9" x14ac:dyDescent="0.25">
      <c r="A23" s="1"/>
      <c r="B23" s="1"/>
      <c r="C23" s="6" t="s">
        <v>8</v>
      </c>
      <c r="D23" s="103" t="s">
        <v>254</v>
      </c>
      <c r="E23" s="104"/>
      <c r="F23" s="104"/>
      <c r="G23" s="105"/>
      <c r="H23" s="5"/>
      <c r="I23" s="1"/>
    </row>
    <row r="24" spans="1:9" x14ac:dyDescent="0.25">
      <c r="A24" s="1"/>
      <c r="B24" s="1"/>
      <c r="C24" s="6" t="s">
        <v>9</v>
      </c>
      <c r="D24" s="103" t="s">
        <v>185</v>
      </c>
      <c r="E24" s="104"/>
      <c r="F24" s="104"/>
      <c r="G24" s="105"/>
      <c r="H24" s="5"/>
      <c r="I24" s="1"/>
    </row>
    <row r="25" spans="1:9" x14ac:dyDescent="0.25">
      <c r="A25" s="1"/>
      <c r="B25" s="1"/>
      <c r="C25" s="6" t="s">
        <v>247</v>
      </c>
      <c r="D25" s="103" t="s">
        <v>238</v>
      </c>
      <c r="E25" s="104"/>
      <c r="F25" s="104"/>
      <c r="G25" s="105"/>
      <c r="H25" s="1"/>
      <c r="I25" s="1"/>
    </row>
    <row r="26" spans="1:9" x14ac:dyDescent="0.25">
      <c r="A26" s="1"/>
      <c r="B26" s="1"/>
      <c r="C26" s="6" t="s">
        <v>248</v>
      </c>
      <c r="D26" s="103" t="s">
        <v>84</v>
      </c>
      <c r="E26" s="104"/>
      <c r="F26" s="104"/>
      <c r="G26" s="105"/>
      <c r="H26" s="1"/>
      <c r="I26" s="1"/>
    </row>
    <row r="27" spans="1:9" x14ac:dyDescent="0.25">
      <c r="A27" s="1"/>
      <c r="B27" s="1"/>
      <c r="C27" s="6" t="s">
        <v>249</v>
      </c>
      <c r="D27" s="103" t="s">
        <v>85</v>
      </c>
      <c r="E27" s="104"/>
      <c r="F27" s="104"/>
      <c r="G27" s="105"/>
      <c r="H27" s="1"/>
      <c r="I27" s="1"/>
    </row>
    <row r="28" spans="1:9" x14ac:dyDescent="0.25">
      <c r="A28" s="1"/>
      <c r="B28" s="1"/>
      <c r="C28" s="6" t="s">
        <v>15</v>
      </c>
      <c r="D28" s="103" t="s">
        <v>86</v>
      </c>
      <c r="E28" s="104"/>
      <c r="F28" s="104"/>
      <c r="G28" s="105"/>
      <c r="H28" s="1"/>
      <c r="I28" s="1"/>
    </row>
    <row r="29" spans="1:9" x14ac:dyDescent="0.25">
      <c r="A29" s="1"/>
      <c r="B29" s="1"/>
      <c r="C29" s="6" t="s">
        <v>37</v>
      </c>
      <c r="D29" s="103" t="s">
        <v>134</v>
      </c>
      <c r="E29" s="104"/>
      <c r="F29" s="104"/>
      <c r="G29" s="105"/>
      <c r="H29" s="1"/>
      <c r="I29" s="1"/>
    </row>
    <row r="30" spans="1:9" x14ac:dyDescent="0.25">
      <c r="A30" s="1"/>
      <c r="B30" s="1"/>
      <c r="C30" s="6" t="s">
        <v>38</v>
      </c>
      <c r="D30" s="103" t="s">
        <v>36</v>
      </c>
      <c r="E30" s="104"/>
      <c r="F30" s="104"/>
      <c r="G30" s="105"/>
      <c r="H30" s="1"/>
      <c r="I30" s="1"/>
    </row>
    <row r="31" spans="1:9" x14ac:dyDescent="0.25">
      <c r="A31" s="1"/>
      <c r="B31" s="1"/>
      <c r="C31" s="6" t="s">
        <v>250</v>
      </c>
      <c r="D31" s="106" t="s">
        <v>105</v>
      </c>
      <c r="E31" s="107"/>
      <c r="F31" s="107"/>
      <c r="G31" s="108"/>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52"/>
      <c r="B51" s="52"/>
      <c r="C51" s="52"/>
      <c r="D51" s="52"/>
      <c r="E51" s="52"/>
      <c r="F51" s="52"/>
      <c r="G51" s="52"/>
      <c r="H51" s="52"/>
      <c r="I51" s="52"/>
    </row>
  </sheetData>
  <sheetProtection algorithmName="SHA-512" hashValue="zaeJzmpcFwQzR1lKcm/g+nXoxnkCj3RY58PNDBUOP40fLjv6HjwxwmqHFUW6kKXXdB7A02C4a5u4YtrIcj5f5g==" saltValue="8QZS0BNbdwSBkaEjtjrrKQ==" spinCount="100000" sheet="1" objects="1" scenarios="1"/>
  <mergeCells count="22">
    <mergeCell ref="D14:G14"/>
    <mergeCell ref="D6:G7"/>
    <mergeCell ref="D21:G21"/>
    <mergeCell ref="D22:G22"/>
    <mergeCell ref="D11:G11"/>
    <mergeCell ref="D8:G8"/>
    <mergeCell ref="D15:G15"/>
    <mergeCell ref="D16:G16"/>
    <mergeCell ref="D19:G19"/>
    <mergeCell ref="D13:G13"/>
    <mergeCell ref="D17:G17"/>
    <mergeCell ref="D20:G20"/>
    <mergeCell ref="D30:G30"/>
    <mergeCell ref="D31:G31"/>
    <mergeCell ref="D18:G18"/>
    <mergeCell ref="D25:G25"/>
    <mergeCell ref="D26:G26"/>
    <mergeCell ref="D29:G29"/>
    <mergeCell ref="D27:G27"/>
    <mergeCell ref="D28:G28"/>
    <mergeCell ref="D24:G24"/>
    <mergeCell ref="D23:G23"/>
  </mergeCells>
  <hyperlinks>
    <hyperlink ref="D14:G14" location="'Fane 2.2. Økonomisk ramme 2024'!A1" display="Samlet økonomisk ramme for 2024"/>
    <hyperlink ref="D26:G26" location="'Fane 11.1. Varige tillæg'!A1" display="Varige tillæg"/>
    <hyperlink ref="D29:G29" location="'Fane 13. Tilknyttet virksomhed'!A1" display="Tilknyttet virksomhed"/>
    <hyperlink ref="D30:G30" location="'Fane 14. Bortfald'!A1" display="Bortfald"/>
    <hyperlink ref="D13:G13" location="'Fane 2.1. Økonomisk ramme 2023'!A1" display="Samlet økonomisk ramme for 2023"/>
    <hyperlink ref="D16:G16" location="'Fane 2.4. Økonomisk ramme 2026'!A1" display="Vejledende økonomisk ramme for 2026"/>
    <hyperlink ref="D15:G15" location="'Fane 2.3. Økonomisk ramme 2025'!A1" display="Vejledende økonomisk ramme for 2025"/>
    <hyperlink ref="D22:G22" location="'Fane 7. Kontrol af ØR2021'!A1" display="Kontrol af den økonomiske ramme for 2021"/>
    <hyperlink ref="D25:G25" location="'Fane 10. Anlægsprojekter (§ 19)'!A1" display="Anlægsprojekter (§ 19) "/>
    <hyperlink ref="D31:G31" location="'Fane 15. Nøgletal'!A1" display="Nøgletal"/>
    <hyperlink ref="D17:G17" location="'Fane 3. Omkostninger i ØR2022'!A1" display="Omkostninger i ØR2022"/>
    <hyperlink ref="D27:G27" location="'Fane 11.2. Engangstillæg'!A1" display="Engangstillæg"/>
    <hyperlink ref="D28:G28" location="'Fane 12. Periodevise driftsomk.'!A1" display="Periodevise driftsomkostninger"/>
    <hyperlink ref="D24:G24" location="'Fane 9. Korrektion af ØR2021'!A1" display="Korrektion af den økonomiske ramme for 2021"/>
    <hyperlink ref="D21:G21" location="'Fane 6. Ikke-påvirkelige omk.'!A1" display="Ikke-påvirkelige omkostninger"/>
    <hyperlink ref="D18:G18" location="'Fane 4.1. Gen. krav - drift'!A1" display="Generelt effektiviseringskrav på drift"/>
    <hyperlink ref="D20:G20" location="'Fane 5. Individuelt eff. krav'!A1" display="Individuelt effektiviseringskrav"/>
    <hyperlink ref="D19:G19" location="'Fane 4.2. Gen. krav - anlæg'!A1" display="Generelt effektiviseringskrav på anlæg"/>
    <hyperlink ref="D23:G23" location="'Fane 8. Skattesagen'!A1" display="Skattesagen"/>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F51"/>
  <sheetViews>
    <sheetView showGridLines="0" view="pageLayout" zoomScaleNormal="100" workbookViewId="0"/>
  </sheetViews>
  <sheetFormatPr defaultColWidth="9.140625" defaultRowHeight="15" x14ac:dyDescent="0.25"/>
  <cols>
    <col min="1" max="1" width="8.140625" style="2" customWidth="1"/>
    <col min="2" max="2" width="38" style="2" customWidth="1"/>
    <col min="3" max="3" width="25.14062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24" t="s">
        <v>111</v>
      </c>
      <c r="C3" s="124"/>
      <c r="D3" s="124"/>
      <c r="E3" s="1"/>
      <c r="F3" s="1"/>
    </row>
    <row r="4" spans="1:6" ht="15" customHeight="1" x14ac:dyDescent="0.25">
      <c r="A4" s="1"/>
      <c r="B4" s="124"/>
      <c r="C4" s="124"/>
      <c r="D4" s="124"/>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36" t="s">
        <v>199</v>
      </c>
      <c r="C8" s="137"/>
      <c r="D8" s="138"/>
      <c r="E8" s="1"/>
      <c r="F8" s="1"/>
    </row>
    <row r="9" spans="1:6" ht="15" customHeight="1" x14ac:dyDescent="0.25">
      <c r="A9" s="1"/>
      <c r="B9" s="27" t="s">
        <v>32</v>
      </c>
      <c r="C9" s="61" t="s">
        <v>241</v>
      </c>
      <c r="D9" s="11"/>
      <c r="E9" s="1"/>
      <c r="F9" s="1"/>
    </row>
    <row r="10" spans="1:6" x14ac:dyDescent="0.25">
      <c r="A10" s="1"/>
      <c r="B10" s="92" t="s">
        <v>266</v>
      </c>
      <c r="C10" s="9">
        <v>964765</v>
      </c>
      <c r="D10" s="14" t="s">
        <v>3</v>
      </c>
      <c r="E10" s="1"/>
      <c r="F10" s="1"/>
    </row>
    <row r="11" spans="1:6" x14ac:dyDescent="0.25">
      <c r="A11" s="1"/>
      <c r="B11" s="92" t="s">
        <v>267</v>
      </c>
      <c r="C11" s="9">
        <v>83556</v>
      </c>
      <c r="D11" s="14" t="s">
        <v>3</v>
      </c>
      <c r="E11" s="1"/>
      <c r="F11" s="1"/>
    </row>
    <row r="12" spans="1:6" x14ac:dyDescent="0.25">
      <c r="A12" s="1"/>
      <c r="B12" s="92" t="s">
        <v>268</v>
      </c>
      <c r="C12" s="9">
        <v>84987</v>
      </c>
      <c r="D12" s="14" t="s">
        <v>3</v>
      </c>
      <c r="E12" s="1"/>
      <c r="F12" s="1"/>
    </row>
    <row r="13" spans="1:6" x14ac:dyDescent="0.25">
      <c r="A13" s="1"/>
      <c r="B13" s="92" t="s">
        <v>269</v>
      </c>
      <c r="C13" s="9">
        <v>140387</v>
      </c>
      <c r="D13" s="14" t="s">
        <v>3</v>
      </c>
      <c r="E13" s="1"/>
      <c r="F13" s="1"/>
    </row>
    <row r="14" spans="1:6" x14ac:dyDescent="0.25">
      <c r="A14" s="1"/>
      <c r="B14" s="33" t="s">
        <v>200</v>
      </c>
      <c r="C14" s="12">
        <f>SUM(C10:C13)</f>
        <v>1273695</v>
      </c>
      <c r="D14" s="13" t="s">
        <v>3</v>
      </c>
      <c r="E14" s="1"/>
      <c r="F14" s="1"/>
    </row>
    <row r="15" spans="1:6" x14ac:dyDescent="0.25">
      <c r="A15" s="1"/>
      <c r="B15" s="33" t="s">
        <v>201</v>
      </c>
      <c r="C15" s="12">
        <f>C14*(1+'Fane 15. Nøgletal'!C15)^2</f>
        <v>1365996.3140952</v>
      </c>
      <c r="D15" s="13" t="s">
        <v>3</v>
      </c>
      <c r="E15" s="1"/>
      <c r="F15" s="1"/>
    </row>
    <row r="16" spans="1:6" x14ac:dyDescent="0.25">
      <c r="A16" s="1"/>
      <c r="B16" s="16"/>
      <c r="C16" s="15"/>
      <c r="D16" s="15"/>
      <c r="E16" s="1"/>
      <c r="F16" s="1"/>
    </row>
    <row r="17" spans="1:6" x14ac:dyDescent="0.25">
      <c r="A17" s="1"/>
      <c r="B17" s="16"/>
      <c r="C17" s="15"/>
      <c r="D17" s="15"/>
      <c r="E17" s="1"/>
      <c r="F17" s="1"/>
    </row>
    <row r="18" spans="1:6" x14ac:dyDescent="0.25">
      <c r="A18" s="1"/>
      <c r="B18" s="136" t="s">
        <v>117</v>
      </c>
      <c r="C18" s="137"/>
      <c r="D18" s="138"/>
      <c r="E18" s="1"/>
      <c r="F18" s="1"/>
    </row>
    <row r="19" spans="1:6" x14ac:dyDescent="0.25">
      <c r="A19" s="1"/>
      <c r="B19" s="92" t="s">
        <v>99</v>
      </c>
      <c r="C19" s="9">
        <v>0</v>
      </c>
      <c r="D19" s="14" t="s">
        <v>3</v>
      </c>
      <c r="E19" s="1"/>
      <c r="F19" s="1"/>
    </row>
    <row r="20" spans="1:6" x14ac:dyDescent="0.25">
      <c r="A20" s="1"/>
      <c r="B20" s="92" t="s">
        <v>129</v>
      </c>
      <c r="C20" s="9">
        <v>0</v>
      </c>
      <c r="D20" s="14" t="s">
        <v>3</v>
      </c>
      <c r="E20" s="1"/>
      <c r="F20" s="1"/>
    </row>
    <row r="21" spans="1:6" x14ac:dyDescent="0.25">
      <c r="A21" s="1"/>
      <c r="B21" s="92" t="s">
        <v>155</v>
      </c>
      <c r="C21" s="9">
        <v>0</v>
      </c>
      <c r="D21" s="14" t="s">
        <v>3</v>
      </c>
      <c r="E21" s="1"/>
      <c r="F21" s="1"/>
    </row>
    <row r="22" spans="1:6" x14ac:dyDescent="0.25">
      <c r="A22" s="1"/>
      <c r="B22" s="34" t="s">
        <v>202</v>
      </c>
      <c r="C22" s="9">
        <v>0</v>
      </c>
      <c r="D22" s="41" t="s">
        <v>3</v>
      </c>
      <c r="E22" s="1"/>
      <c r="F22" s="1"/>
    </row>
    <row r="23" spans="1:6" x14ac:dyDescent="0.25">
      <c r="A23" s="1"/>
      <c r="B23" s="136"/>
      <c r="C23" s="137"/>
      <c r="D23" s="138"/>
      <c r="E23" s="1"/>
      <c r="F23" s="1"/>
    </row>
    <row r="24" spans="1:6" x14ac:dyDescent="0.25">
      <c r="A24" s="1"/>
      <c r="B24" s="1"/>
      <c r="C24" s="1"/>
      <c r="D24" s="1"/>
      <c r="E24" s="1"/>
      <c r="F24" s="1"/>
    </row>
    <row r="25" spans="1:6" x14ac:dyDescent="0.25">
      <c r="A25" s="1"/>
      <c r="B25" s="1"/>
      <c r="C25" s="1"/>
      <c r="D25" s="1"/>
      <c r="E25" s="1"/>
      <c r="F25" s="1"/>
    </row>
    <row r="26" spans="1:6" x14ac:dyDescent="0.25">
      <c r="A26" s="1"/>
      <c r="B26" s="136" t="s">
        <v>98</v>
      </c>
      <c r="C26" s="137"/>
      <c r="D26" s="138"/>
      <c r="E26" s="1"/>
      <c r="F26" s="1"/>
    </row>
    <row r="27" spans="1:6" x14ac:dyDescent="0.25">
      <c r="A27" s="1"/>
      <c r="B27" s="92" t="s">
        <v>99</v>
      </c>
      <c r="C27" s="9">
        <v>0</v>
      </c>
      <c r="D27" s="14" t="s">
        <v>3</v>
      </c>
      <c r="E27" s="1"/>
      <c r="F27" s="1"/>
    </row>
    <row r="28" spans="1:6" x14ac:dyDescent="0.25">
      <c r="A28" s="1"/>
      <c r="B28" s="92" t="s">
        <v>129</v>
      </c>
      <c r="C28" s="9">
        <v>0</v>
      </c>
      <c r="D28" s="14" t="s">
        <v>3</v>
      </c>
      <c r="E28" s="1"/>
      <c r="F28" s="1"/>
    </row>
    <row r="29" spans="1:6" x14ac:dyDescent="0.25">
      <c r="A29" s="1"/>
      <c r="B29" s="92" t="s">
        <v>155</v>
      </c>
      <c r="C29" s="9">
        <v>0</v>
      </c>
      <c r="D29" s="14" t="s">
        <v>3</v>
      </c>
      <c r="E29" s="1"/>
      <c r="F29" s="1"/>
    </row>
    <row r="30" spans="1:6" x14ac:dyDescent="0.25">
      <c r="A30" s="1"/>
      <c r="B30" s="34" t="s">
        <v>202</v>
      </c>
      <c r="C30" s="9">
        <v>0</v>
      </c>
      <c r="D30" s="41" t="s">
        <v>3</v>
      </c>
      <c r="E30" s="1"/>
      <c r="F30" s="1"/>
    </row>
    <row r="31" spans="1:6" x14ac:dyDescent="0.25">
      <c r="A31" s="1"/>
      <c r="B31" s="136"/>
      <c r="C31" s="137"/>
      <c r="D31" s="138"/>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52"/>
      <c r="B48" s="52"/>
      <c r="C48" s="52"/>
      <c r="D48" s="52"/>
      <c r="E48" s="52"/>
      <c r="F48" s="52"/>
    </row>
    <row r="49" spans="1:6" x14ac:dyDescent="0.25">
      <c r="A49" s="52"/>
      <c r="B49" s="52"/>
      <c r="C49" s="52"/>
      <c r="D49" s="52"/>
      <c r="E49" s="52"/>
      <c r="F49" s="52"/>
    </row>
    <row r="50" spans="1:6" x14ac:dyDescent="0.25">
      <c r="A50" s="52"/>
      <c r="B50" s="52"/>
      <c r="C50" s="52"/>
      <c r="D50" s="52"/>
      <c r="E50" s="52"/>
      <c r="F50" s="52"/>
    </row>
    <row r="51" spans="1:6" x14ac:dyDescent="0.25">
      <c r="A51" s="52"/>
      <c r="B51" s="52"/>
      <c r="C51" s="52"/>
      <c r="D51" s="52"/>
      <c r="E51" s="52"/>
      <c r="F51" s="52"/>
    </row>
  </sheetData>
  <sheetProtection algorithmName="SHA-512" hashValue="NNK0fpBKRJQWxsh3vnbRggitVnpfxOlvzmUlEpzruOoPS8GXRrh+YqBCuy5BS21PGvlhHA5dBRTT5I223G0blg==" saltValue="9j9v9jpDPTZ+VNqadYm1ZQ==" spinCount="100000" sheet="1" objects="1" scenarios="1"/>
  <mergeCells count="6">
    <mergeCell ref="B31:D31"/>
    <mergeCell ref="B3:D4"/>
    <mergeCell ref="B8:D8"/>
    <mergeCell ref="B18:D18"/>
    <mergeCell ref="B26:D26"/>
    <mergeCell ref="B23:D23"/>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G42"/>
  <sheetViews>
    <sheetView showGridLines="0" view="pageLayout" zoomScale="80" zoomScaleNormal="100" zoomScalePageLayoutView="8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8" width="10.85546875" style="2" bestFit="1" customWidth="1"/>
    <col min="9"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9" t="s">
        <v>203</v>
      </c>
      <c r="C3" s="129"/>
      <c r="D3" s="129"/>
      <c r="E3" s="129"/>
      <c r="F3" s="129"/>
      <c r="G3" s="1"/>
    </row>
    <row r="4" spans="1:7" ht="15" customHeight="1" x14ac:dyDescent="0.25">
      <c r="A4" s="1"/>
      <c r="B4" s="129"/>
      <c r="C4" s="129"/>
      <c r="D4" s="129"/>
      <c r="E4" s="129"/>
      <c r="F4" s="129"/>
      <c r="G4" s="1"/>
    </row>
    <row r="5" spans="1:7" ht="15" customHeight="1" x14ac:dyDescent="0.25">
      <c r="A5" s="1"/>
      <c r="B5" s="88"/>
      <c r="C5" s="88"/>
      <c r="D5" s="88"/>
      <c r="E5" s="88"/>
      <c r="F5" s="88"/>
      <c r="G5" s="1"/>
    </row>
    <row r="6" spans="1:7" ht="15" customHeight="1" x14ac:dyDescent="0.25">
      <c r="A6" s="1"/>
      <c r="B6" s="88"/>
      <c r="C6" s="88"/>
      <c r="D6" s="88"/>
      <c r="E6" s="88"/>
      <c r="F6" s="88"/>
      <c r="G6" s="1"/>
    </row>
    <row r="7" spans="1:7" x14ac:dyDescent="0.25">
      <c r="A7" s="1"/>
      <c r="B7" s="1"/>
      <c r="C7" s="1"/>
      <c r="D7" s="1"/>
      <c r="E7" s="1"/>
      <c r="F7" s="1"/>
      <c r="G7" s="1"/>
    </row>
    <row r="8" spans="1:7" x14ac:dyDescent="0.25">
      <c r="A8" s="1"/>
      <c r="B8" s="136" t="s">
        <v>178</v>
      </c>
      <c r="C8" s="137"/>
      <c r="D8" s="137"/>
      <c r="E8" s="137"/>
      <c r="F8" s="138"/>
      <c r="G8" s="1"/>
    </row>
    <row r="9" spans="1:7" x14ac:dyDescent="0.25">
      <c r="A9" s="1"/>
      <c r="B9" s="141" t="s">
        <v>204</v>
      </c>
      <c r="C9" s="142"/>
      <c r="D9" s="143"/>
      <c r="E9" s="9">
        <v>4366652.3536107987</v>
      </c>
      <c r="F9" s="14" t="s">
        <v>3</v>
      </c>
      <c r="G9" s="1"/>
    </row>
    <row r="10" spans="1:7" x14ac:dyDescent="0.25">
      <c r="A10" s="1"/>
      <c r="B10" s="141" t="s">
        <v>264</v>
      </c>
      <c r="C10" s="142"/>
      <c r="D10" s="143"/>
      <c r="E10" s="9">
        <v>4366652.3536107987</v>
      </c>
      <c r="F10" s="14" t="s">
        <v>3</v>
      </c>
      <c r="G10" s="1"/>
    </row>
    <row r="11" spans="1:7" x14ac:dyDescent="0.25">
      <c r="A11" s="1"/>
      <c r="B11" s="33"/>
      <c r="C11" s="28"/>
      <c r="D11" s="28"/>
      <c r="E11" s="28"/>
      <c r="F11" s="19"/>
      <c r="G11" s="1"/>
    </row>
    <row r="12" spans="1:7" ht="81.75" customHeight="1" x14ac:dyDescent="0.25">
      <c r="A12" s="1"/>
      <c r="B12" s="126" t="s">
        <v>288</v>
      </c>
      <c r="C12" s="127"/>
      <c r="D12" s="127"/>
      <c r="E12" s="127"/>
      <c r="F12" s="128"/>
      <c r="G12" s="1"/>
    </row>
    <row r="13" spans="1:7" ht="27" customHeight="1" x14ac:dyDescent="0.25">
      <c r="A13" s="1"/>
      <c r="B13" s="1"/>
      <c r="C13" s="1"/>
      <c r="D13" s="1"/>
      <c r="E13" s="1"/>
      <c r="F13" s="1"/>
      <c r="G13" s="1"/>
    </row>
    <row r="14" spans="1:7" ht="28.5" customHeight="1" x14ac:dyDescent="0.25">
      <c r="A14" s="1"/>
      <c r="B14" s="136" t="s">
        <v>179</v>
      </c>
      <c r="C14" s="137"/>
      <c r="D14" s="137"/>
      <c r="E14" s="137"/>
      <c r="F14" s="138"/>
      <c r="G14" s="1"/>
    </row>
    <row r="15" spans="1:7" x14ac:dyDescent="0.25">
      <c r="A15" s="1"/>
      <c r="B15" s="141" t="s">
        <v>283</v>
      </c>
      <c r="C15" s="142"/>
      <c r="D15" s="143"/>
      <c r="E15" s="9">
        <v>0</v>
      </c>
      <c r="F15" s="14" t="s">
        <v>3</v>
      </c>
      <c r="G15" s="1"/>
    </row>
    <row r="16" spans="1:7" x14ac:dyDescent="0.25">
      <c r="A16" s="1"/>
      <c r="B16" s="141" t="s">
        <v>284</v>
      </c>
      <c r="C16" s="142"/>
      <c r="D16" s="143"/>
      <c r="E16" s="9">
        <v>0</v>
      </c>
      <c r="F16" s="14" t="s">
        <v>3</v>
      </c>
      <c r="G16" s="1"/>
    </row>
    <row r="17" spans="1:7" x14ac:dyDescent="0.25">
      <c r="A17" s="1"/>
      <c r="B17" s="33"/>
      <c r="C17" s="28"/>
      <c r="D17" s="28"/>
      <c r="E17" s="28"/>
      <c r="F17" s="19"/>
      <c r="G17" s="1"/>
    </row>
    <row r="18" spans="1:7" ht="27" customHeight="1" x14ac:dyDescent="0.25">
      <c r="A18" s="1"/>
      <c r="B18" s="126" t="s">
        <v>289</v>
      </c>
      <c r="C18" s="127"/>
      <c r="D18" s="127"/>
      <c r="E18" s="127"/>
      <c r="F18" s="128"/>
      <c r="G18" s="1"/>
    </row>
    <row r="19" spans="1:7" ht="28.5" customHeight="1" x14ac:dyDescent="0.25">
      <c r="A19" s="1"/>
      <c r="B19" s="1"/>
      <c r="C19" s="1"/>
      <c r="D19" s="1"/>
      <c r="E19" s="1"/>
      <c r="F19" s="1"/>
      <c r="G19" s="1"/>
    </row>
    <row r="20" spans="1:7" ht="28.5" customHeight="1" x14ac:dyDescent="0.25">
      <c r="A20" s="1"/>
      <c r="B20" s="83" t="s">
        <v>205</v>
      </c>
      <c r="C20" s="84"/>
      <c r="D20" s="84"/>
      <c r="E20" s="84"/>
      <c r="F20" s="85"/>
      <c r="G20" s="1"/>
    </row>
    <row r="21" spans="1:7" x14ac:dyDescent="0.25">
      <c r="A21" s="1"/>
      <c r="B21" s="89" t="s">
        <v>206</v>
      </c>
      <c r="C21" s="90"/>
      <c r="D21" s="91"/>
      <c r="E21" s="9">
        <v>52013668.526436776</v>
      </c>
      <c r="F21" s="14" t="s">
        <v>3</v>
      </c>
      <c r="G21" s="1"/>
    </row>
    <row r="22" spans="1:7" x14ac:dyDescent="0.25">
      <c r="A22" s="1"/>
      <c r="B22" s="89" t="s">
        <v>207</v>
      </c>
      <c r="C22" s="90"/>
      <c r="D22" s="91"/>
      <c r="E22" s="9">
        <v>51136782</v>
      </c>
      <c r="F22" s="14" t="s">
        <v>3</v>
      </c>
      <c r="G22" s="1"/>
    </row>
    <row r="23" spans="1:7" x14ac:dyDescent="0.25">
      <c r="A23" s="1"/>
      <c r="B23" s="89" t="s">
        <v>33</v>
      </c>
      <c r="C23" s="90"/>
      <c r="D23" s="91"/>
      <c r="E23" s="9">
        <v>0</v>
      </c>
      <c r="F23" s="14" t="s">
        <v>3</v>
      </c>
      <c r="G23" s="1"/>
    </row>
    <row r="24" spans="1:7" x14ac:dyDescent="0.25">
      <c r="A24" s="1"/>
      <c r="B24" s="86" t="s">
        <v>270</v>
      </c>
      <c r="C24" s="87"/>
      <c r="D24" s="94"/>
      <c r="E24" s="76">
        <f>E21-(E22-E23)</f>
        <v>876886.52643677592</v>
      </c>
      <c r="F24" s="17" t="s">
        <v>3</v>
      </c>
      <c r="G24" s="1"/>
    </row>
    <row r="25" spans="1:7" x14ac:dyDescent="0.25">
      <c r="A25" s="1"/>
      <c r="B25" s="33"/>
      <c r="C25" s="28"/>
      <c r="D25" s="28"/>
      <c r="E25" s="28"/>
      <c r="F25" s="19"/>
      <c r="G25" s="1"/>
    </row>
    <row r="26" spans="1:7" x14ac:dyDescent="0.25">
      <c r="A26" s="1"/>
      <c r="B26" s="1"/>
      <c r="C26" s="1"/>
      <c r="D26" s="1"/>
      <c r="E26" s="1"/>
      <c r="F26" s="1"/>
      <c r="G26" s="1"/>
    </row>
    <row r="27" spans="1:7" x14ac:dyDescent="0.25">
      <c r="A27" s="1"/>
      <c r="B27" s="136" t="s">
        <v>285</v>
      </c>
      <c r="C27" s="137"/>
      <c r="D27" s="137"/>
      <c r="E27" s="137"/>
      <c r="F27" s="138"/>
      <c r="G27" s="1"/>
    </row>
    <row r="28" spans="1:7" x14ac:dyDescent="0.25">
      <c r="A28" s="1"/>
      <c r="B28" s="139" t="s">
        <v>286</v>
      </c>
      <c r="C28" s="140"/>
      <c r="D28" s="162"/>
      <c r="E28" s="77">
        <f>IF(AND(E9&gt;0,(E9+E24)&gt;0),0,IF(AND(E9&gt;0,(E9+E24)&lt;0),0,IF(AND(E9&lt;0,E24&gt;0,E10=0),0,IF(AND(E9&lt;0,E24&gt;0,ABS(E10)&lt;ABS(E24)),ABS(E16),IF(AND(E9&lt;0,E24&gt;0,ABS(E10)&gt;ABS(E24),ABS(E16)&gt;ABS(E24)),-(ABS(E16)-ABS(E24)),IF(AND(E9&lt;0,E24&gt;0,ABS(E10)&gt;ABS(E24),ABS(E16)&lt;ABS(E24)),E24-ABS(E16),IF(AND(E9&lt;0,E24&lt;0),E16,0)))))))</f>
        <v>0</v>
      </c>
      <c r="F28" s="17" t="s">
        <v>3</v>
      </c>
      <c r="G28" s="1"/>
    </row>
    <row r="29" spans="1:7" x14ac:dyDescent="0.25">
      <c r="A29" s="1"/>
      <c r="B29" s="136"/>
      <c r="C29" s="137"/>
      <c r="D29" s="137"/>
      <c r="E29" s="137"/>
      <c r="F29" s="138"/>
      <c r="G29" s="1"/>
    </row>
    <row r="30" spans="1:7" x14ac:dyDescent="0.25">
      <c r="A30" s="1"/>
      <c r="B30" s="1"/>
      <c r="C30" s="1"/>
      <c r="D30" s="1"/>
      <c r="E30" s="1"/>
      <c r="F30" s="1"/>
      <c r="G30" s="1"/>
    </row>
    <row r="31" spans="1:7" ht="28.5" customHeight="1" x14ac:dyDescent="0.25">
      <c r="A31" s="1"/>
      <c r="B31" s="136" t="s">
        <v>265</v>
      </c>
      <c r="C31" s="137"/>
      <c r="D31" s="137"/>
      <c r="E31" s="137"/>
      <c r="F31" s="138"/>
      <c r="G31" s="1"/>
    </row>
    <row r="32" spans="1:7" x14ac:dyDescent="0.25">
      <c r="A32" s="1"/>
      <c r="B32" s="155" t="s">
        <v>143</v>
      </c>
      <c r="C32" s="156"/>
      <c r="D32" s="157"/>
      <c r="E32" s="78">
        <f>IF(AND(E9&gt;0,(E9+E24)&gt;0),0,IF(AND(E9&gt;0,(E9+E24)&lt;0),(E9+E24),IF(AND(E9&lt;0,E24&lt;0),E24,0)))</f>
        <v>0</v>
      </c>
      <c r="F32" s="14" t="s">
        <v>3</v>
      </c>
      <c r="G32" s="1"/>
    </row>
    <row r="33" spans="1:7" x14ac:dyDescent="0.25">
      <c r="A33" s="1"/>
      <c r="B33" s="155" t="s">
        <v>102</v>
      </c>
      <c r="C33" s="156"/>
      <c r="D33" s="157"/>
      <c r="E33" s="9">
        <v>4</v>
      </c>
      <c r="F33" s="14" t="s">
        <v>20</v>
      </c>
      <c r="G33" s="1"/>
    </row>
    <row r="34" spans="1:7" x14ac:dyDescent="0.25">
      <c r="A34" s="1"/>
      <c r="B34" s="158" t="s">
        <v>144</v>
      </c>
      <c r="C34" s="158"/>
      <c r="D34" s="158"/>
      <c r="E34" s="77">
        <f>E32/E33</f>
        <v>0</v>
      </c>
      <c r="F34" s="17" t="s">
        <v>3</v>
      </c>
      <c r="G34" s="1"/>
    </row>
    <row r="35" spans="1:7" x14ac:dyDescent="0.25">
      <c r="A35" s="1"/>
      <c r="B35" s="159"/>
      <c r="C35" s="160"/>
      <c r="D35" s="160"/>
      <c r="E35" s="160"/>
      <c r="F35" s="16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B40" s="52"/>
      <c r="C40" s="52"/>
      <c r="D40" s="52"/>
      <c r="E40" s="52"/>
      <c r="F40" s="52"/>
    </row>
    <row r="41" spans="1:7" x14ac:dyDescent="0.25">
      <c r="A41" s="52"/>
      <c r="B41" s="52"/>
      <c r="C41" s="52"/>
      <c r="D41" s="52"/>
      <c r="E41" s="52"/>
      <c r="F41" s="52"/>
      <c r="G41" s="52"/>
    </row>
    <row r="42" spans="1:7" x14ac:dyDescent="0.25">
      <c r="A42" s="52"/>
      <c r="B42" s="52"/>
      <c r="C42" s="52"/>
      <c r="D42" s="52"/>
      <c r="E42" s="52"/>
      <c r="F42" s="52"/>
      <c r="G42" s="52"/>
    </row>
  </sheetData>
  <sheetProtection algorithmName="SHA-512" hashValue="kWN8+dLMWN52sbuPNSZHgCgKASmbCqo00Mk1KpzDMVqGxUezVtJK3+22P2CVuGsFKM7PvVgknoEr96VehoPfAw==" saltValue="zsQXG3ji625HzrJdTRJfXw==" spinCount="100000" sheet="1" objects="1" scenarios="1"/>
  <mergeCells count="17">
    <mergeCell ref="B34:D34"/>
    <mergeCell ref="B35:F35"/>
    <mergeCell ref="B18:F18"/>
    <mergeCell ref="B27:F27"/>
    <mergeCell ref="B28:D28"/>
    <mergeCell ref="B31:F31"/>
    <mergeCell ref="B33:D33"/>
    <mergeCell ref="B15:D15"/>
    <mergeCell ref="B16:D16"/>
    <mergeCell ref="B32:D32"/>
    <mergeCell ref="B29:F29"/>
    <mergeCell ref="B3:F4"/>
    <mergeCell ref="B8:F8"/>
    <mergeCell ref="B9:D9"/>
    <mergeCell ref="B10:D10"/>
    <mergeCell ref="B14:F14"/>
    <mergeCell ref="B12:F1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I43"/>
  <sheetViews>
    <sheetView view="pageLayout" zoomScaleNormal="100" workbookViewId="0"/>
  </sheetViews>
  <sheetFormatPr defaultColWidth="9.140625" defaultRowHeight="15" x14ac:dyDescent="0.25"/>
  <cols>
    <col min="1" max="1" width="4.7109375" style="72" customWidth="1"/>
    <col min="2" max="2" width="22.5703125" style="72" customWidth="1"/>
    <col min="3" max="3" width="8.28515625" style="72" customWidth="1"/>
    <col min="4" max="6" width="10.7109375" style="72" customWidth="1"/>
    <col min="7" max="7" width="11.140625" style="72" customWidth="1"/>
    <col min="8" max="8" width="3.28515625" style="72" customWidth="1"/>
    <col min="9" max="9" width="4.85546875" style="72" customWidth="1"/>
    <col min="10" max="16384" width="9.140625" style="7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24" t="s">
        <v>251</v>
      </c>
      <c r="C3" s="124"/>
      <c r="D3" s="124"/>
      <c r="E3" s="124"/>
      <c r="F3" s="124"/>
      <c r="G3" s="124"/>
      <c r="H3" s="124"/>
      <c r="I3" s="1"/>
    </row>
    <row r="4" spans="1:9" ht="15" customHeight="1" x14ac:dyDescent="0.25">
      <c r="A4" s="1"/>
      <c r="B4" s="124"/>
      <c r="C4" s="124"/>
      <c r="D4" s="124"/>
      <c r="E4" s="124"/>
      <c r="F4" s="124"/>
      <c r="G4" s="124"/>
      <c r="H4" s="124"/>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36" t="s">
        <v>263</v>
      </c>
      <c r="C8" s="137"/>
      <c r="D8" s="137"/>
      <c r="E8" s="137"/>
      <c r="F8" s="137"/>
      <c r="G8" s="137"/>
      <c r="H8" s="138"/>
      <c r="I8" s="1"/>
    </row>
    <row r="9" spans="1:9" ht="15" customHeight="1" x14ac:dyDescent="0.25">
      <c r="A9" s="1"/>
      <c r="B9" s="133" t="s">
        <v>252</v>
      </c>
      <c r="C9" s="134"/>
      <c r="D9" s="134"/>
      <c r="E9" s="134"/>
      <c r="F9" s="134"/>
      <c r="G9" s="134"/>
      <c r="H9" s="135"/>
      <c r="I9" s="1"/>
    </row>
    <row r="10" spans="1:9" x14ac:dyDescent="0.25">
      <c r="A10" s="1"/>
      <c r="B10" s="163" t="s">
        <v>275</v>
      </c>
      <c r="C10" s="164"/>
      <c r="D10" s="164"/>
      <c r="E10" s="164"/>
      <c r="F10" s="165"/>
      <c r="G10" s="9">
        <v>0</v>
      </c>
      <c r="H10" s="9" t="s">
        <v>3</v>
      </c>
      <c r="I10" s="1"/>
    </row>
    <row r="11" spans="1:9" x14ac:dyDescent="0.25">
      <c r="A11" s="1"/>
      <c r="B11" s="163" t="s">
        <v>276</v>
      </c>
      <c r="C11" s="164"/>
      <c r="D11" s="164"/>
      <c r="E11" s="164"/>
      <c r="F11" s="165"/>
      <c r="G11" s="9">
        <v>0</v>
      </c>
      <c r="H11" s="9" t="s">
        <v>3</v>
      </c>
      <c r="I11" s="1"/>
    </row>
    <row r="12" spans="1:9" x14ac:dyDescent="0.25">
      <c r="A12" s="1"/>
      <c r="B12" s="163" t="s">
        <v>277</v>
      </c>
      <c r="C12" s="164"/>
      <c r="D12" s="164"/>
      <c r="E12" s="164"/>
      <c r="F12" s="165"/>
      <c r="G12" s="9">
        <v>0</v>
      </c>
      <c r="H12" s="9" t="s">
        <v>3</v>
      </c>
      <c r="I12" s="1"/>
    </row>
    <row r="13" spans="1:9" x14ac:dyDescent="0.25">
      <c r="A13" s="1"/>
      <c r="B13" s="163" t="s">
        <v>278</v>
      </c>
      <c r="C13" s="164"/>
      <c r="D13" s="164"/>
      <c r="E13" s="164"/>
      <c r="F13" s="165"/>
      <c r="G13" s="9">
        <v>0</v>
      </c>
      <c r="H13" s="9" t="s">
        <v>3</v>
      </c>
      <c r="I13" s="1"/>
    </row>
    <row r="14" spans="1:9" x14ac:dyDescent="0.25">
      <c r="A14" s="1"/>
      <c r="B14" s="163" t="s">
        <v>279</v>
      </c>
      <c r="C14" s="164"/>
      <c r="D14" s="164"/>
      <c r="E14" s="164"/>
      <c r="F14" s="165"/>
      <c r="G14" s="9">
        <v>0</v>
      </c>
      <c r="H14" s="9" t="s">
        <v>3</v>
      </c>
      <c r="I14" s="1"/>
    </row>
    <row r="15" spans="1:9" x14ac:dyDescent="0.25">
      <c r="A15" s="1"/>
      <c r="B15" s="163" t="s">
        <v>280</v>
      </c>
      <c r="C15" s="164"/>
      <c r="D15" s="164"/>
      <c r="E15" s="164"/>
      <c r="F15" s="165"/>
      <c r="G15" s="9">
        <v>0</v>
      </c>
      <c r="H15" s="9" t="s">
        <v>3</v>
      </c>
      <c r="I15" s="1"/>
    </row>
    <row r="16" spans="1:9" x14ac:dyDescent="0.25">
      <c r="A16" s="1"/>
      <c r="B16" s="163" t="s">
        <v>281</v>
      </c>
      <c r="C16" s="164"/>
      <c r="D16" s="164"/>
      <c r="E16" s="164"/>
      <c r="F16" s="165"/>
      <c r="G16" s="9">
        <v>0</v>
      </c>
      <c r="H16" s="9" t="s">
        <v>3</v>
      </c>
      <c r="I16" s="1"/>
    </row>
    <row r="17" spans="1:9" x14ac:dyDescent="0.25">
      <c r="A17" s="1"/>
      <c r="B17" s="163" t="s">
        <v>282</v>
      </c>
      <c r="C17" s="164"/>
      <c r="D17" s="164"/>
      <c r="E17" s="164"/>
      <c r="F17" s="165"/>
      <c r="G17" s="9">
        <v>0</v>
      </c>
      <c r="H17" s="9" t="s">
        <v>3</v>
      </c>
      <c r="I17" s="1"/>
    </row>
    <row r="18" spans="1:9" x14ac:dyDescent="0.25">
      <c r="A18" s="1"/>
      <c r="B18" s="136" t="s">
        <v>253</v>
      </c>
      <c r="C18" s="137"/>
      <c r="D18" s="137"/>
      <c r="E18" s="137"/>
      <c r="F18" s="138"/>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sheetData>
  <sheetProtection algorithmName="SHA-512" hashValue="qZLuymuSeBfv9+KdfLpz9KrSVXNMj1dX/QSYpKbLhDbFfeG+FUGo3tL+f1pYgqvXKyx+kGh6bcQx1G8bumihfQ==" saltValue="sMpDGXf1+48SkBo4SE7XRw==" spinCount="100000" sheet="1" objects="1" scenarios="1"/>
  <mergeCells count="12">
    <mergeCell ref="B9:H9"/>
    <mergeCell ref="B3:H4"/>
    <mergeCell ref="B8:H8"/>
    <mergeCell ref="B11:F11"/>
    <mergeCell ref="B10:F10"/>
    <mergeCell ref="B17:F17"/>
    <mergeCell ref="B18:F18"/>
    <mergeCell ref="B12:F12"/>
    <mergeCell ref="B13:F13"/>
    <mergeCell ref="B14:F14"/>
    <mergeCell ref="B15:F15"/>
    <mergeCell ref="B16:F16"/>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G49"/>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5703125" style="2" customWidth="1"/>
    <col min="5" max="5" width="12.710937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9" t="s">
        <v>255</v>
      </c>
      <c r="C3" s="129"/>
      <c r="D3" s="129"/>
      <c r="E3" s="129"/>
      <c r="F3" s="129"/>
      <c r="G3" s="1"/>
    </row>
    <row r="4" spans="1:7" ht="15" customHeight="1" x14ac:dyDescent="0.25">
      <c r="A4" s="1"/>
      <c r="B4" s="129"/>
      <c r="C4" s="129"/>
      <c r="D4" s="129"/>
      <c r="E4" s="129"/>
      <c r="F4" s="12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36" t="s">
        <v>208</v>
      </c>
      <c r="C9" s="137"/>
      <c r="D9" s="137"/>
      <c r="E9" s="137"/>
      <c r="F9" s="138"/>
      <c r="G9" s="1"/>
    </row>
    <row r="10" spans="1:7" x14ac:dyDescent="0.25">
      <c r="A10" s="1"/>
      <c r="B10" s="126" t="s">
        <v>100</v>
      </c>
      <c r="C10" s="127"/>
      <c r="D10" s="128"/>
      <c r="E10" s="7">
        <v>0</v>
      </c>
      <c r="F10" s="8" t="s">
        <v>3</v>
      </c>
      <c r="G10" s="1"/>
    </row>
    <row r="11" spans="1:7" x14ac:dyDescent="0.25">
      <c r="A11" s="1"/>
      <c r="B11" s="141" t="s">
        <v>209</v>
      </c>
      <c r="C11" s="142"/>
      <c r="D11" s="143"/>
      <c r="E11" s="7">
        <v>0</v>
      </c>
      <c r="F11" s="8" t="s">
        <v>3</v>
      </c>
      <c r="G11" s="1"/>
    </row>
    <row r="12" spans="1:7" x14ac:dyDescent="0.25">
      <c r="A12" s="1"/>
      <c r="B12" s="139" t="s">
        <v>101</v>
      </c>
      <c r="C12" s="140"/>
      <c r="D12" s="162"/>
      <c r="E12" s="10">
        <f>E11-E10</f>
        <v>0</v>
      </c>
      <c r="F12" s="11" t="s">
        <v>3</v>
      </c>
      <c r="G12" s="1"/>
    </row>
    <row r="13" spans="1:7" x14ac:dyDescent="0.25">
      <c r="A13" s="1"/>
      <c r="B13" s="136" t="s">
        <v>94</v>
      </c>
      <c r="C13" s="137"/>
      <c r="D13" s="137"/>
      <c r="E13" s="137"/>
      <c r="F13" s="138"/>
      <c r="G13" s="1"/>
    </row>
    <row r="14" spans="1:7" x14ac:dyDescent="0.25">
      <c r="A14" s="1"/>
      <c r="B14" s="141" t="s">
        <v>210</v>
      </c>
      <c r="C14" s="142"/>
      <c r="D14" s="143"/>
      <c r="E14" s="9">
        <v>0</v>
      </c>
      <c r="F14" s="8" t="s">
        <v>3</v>
      </c>
      <c r="G14" s="1"/>
    </row>
    <row r="15" spans="1:7" x14ac:dyDescent="0.25">
      <c r="A15" s="1"/>
      <c r="B15" s="126" t="s">
        <v>211</v>
      </c>
      <c r="C15" s="127"/>
      <c r="D15" s="128"/>
      <c r="E15" s="9">
        <v>0</v>
      </c>
      <c r="F15" s="8" t="s">
        <v>3</v>
      </c>
      <c r="G15" s="1"/>
    </row>
    <row r="16" spans="1:7" x14ac:dyDescent="0.25">
      <c r="A16" s="1"/>
      <c r="B16" s="139" t="s">
        <v>101</v>
      </c>
      <c r="C16" s="140"/>
      <c r="D16" s="162"/>
      <c r="E16" s="10">
        <f>E15-E14</f>
        <v>0</v>
      </c>
      <c r="F16" s="11" t="s">
        <v>3</v>
      </c>
      <c r="G16" s="1"/>
    </row>
    <row r="17" spans="1:7" x14ac:dyDescent="0.25">
      <c r="A17" s="1"/>
      <c r="B17" s="33" t="s">
        <v>212</v>
      </c>
      <c r="C17" s="28"/>
      <c r="D17" s="28"/>
      <c r="E17" s="12">
        <f>E12+E16</f>
        <v>0</v>
      </c>
      <c r="F17" s="13"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yhqIdkuT8V67kHzNxJFFCGmLJvn/u6MLLPlN9NwZ1qXcaezl4JY1B3jFPGn7HzE+Upp3wGNAemwu7lu26AzDhg==" saltValue="zhCfx9YOiosUJ9w+71J0oQ=="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L46"/>
  <sheetViews>
    <sheetView showGridLines="0" view="pageLayout" zoomScaleNormal="100" workbookViewId="0"/>
  </sheetViews>
  <sheetFormatPr defaultColWidth="9.140625" defaultRowHeight="15" x14ac:dyDescent="0.25"/>
  <cols>
    <col min="1" max="1" width="4.140625" style="2" customWidth="1"/>
    <col min="2" max="2" width="21.7109375" style="2" customWidth="1"/>
    <col min="3" max="3" width="8.85546875" style="2" customWidth="1"/>
    <col min="4" max="4" width="9.140625" style="2" customWidth="1"/>
    <col min="5" max="5" width="2.42578125" style="2" customWidth="1"/>
    <col min="6" max="6" width="9.140625" style="2" customWidth="1"/>
    <col min="7" max="7" width="2.42578125" style="2" customWidth="1"/>
    <col min="8" max="8" width="9.140625" style="2" customWidth="1"/>
    <col min="9" max="9" width="2.42578125" style="2" customWidth="1"/>
    <col min="10" max="10" width="9.140625" style="2" customWidth="1"/>
    <col min="11" max="11" width="2.42578125" style="2" customWidth="1"/>
    <col min="12" max="12" width="4.14062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24" t="s">
        <v>256</v>
      </c>
      <c r="C3" s="124"/>
      <c r="D3" s="124"/>
      <c r="E3" s="124"/>
      <c r="F3" s="124"/>
      <c r="G3" s="124"/>
      <c r="H3" s="124"/>
      <c r="I3" s="124"/>
      <c r="J3" s="124"/>
      <c r="K3" s="124"/>
      <c r="L3" s="1"/>
    </row>
    <row r="4" spans="1:12" ht="15" customHeight="1" x14ac:dyDescent="0.25">
      <c r="A4" s="1"/>
      <c r="B4" s="124"/>
      <c r="C4" s="124"/>
      <c r="D4" s="124"/>
      <c r="E4" s="124"/>
      <c r="F4" s="124"/>
      <c r="G4" s="124"/>
      <c r="H4" s="124"/>
      <c r="I4" s="124"/>
      <c r="J4" s="124"/>
      <c r="K4" s="12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36" t="s">
        <v>220</v>
      </c>
      <c r="C8" s="137"/>
      <c r="D8" s="137"/>
      <c r="E8" s="137"/>
      <c r="F8" s="137"/>
      <c r="G8" s="137"/>
      <c r="H8" s="137"/>
      <c r="I8" s="137"/>
      <c r="J8" s="137"/>
      <c r="K8" s="138"/>
      <c r="L8" s="1"/>
    </row>
    <row r="9" spans="1:12" ht="39.75" customHeight="1" x14ac:dyDescent="0.25">
      <c r="A9" s="1"/>
      <c r="B9" s="18" t="s">
        <v>0</v>
      </c>
      <c r="C9" s="18" t="s">
        <v>1</v>
      </c>
      <c r="D9" s="166" t="s">
        <v>246</v>
      </c>
      <c r="E9" s="167"/>
      <c r="F9" s="166" t="s">
        <v>2</v>
      </c>
      <c r="G9" s="167"/>
      <c r="H9" s="166" t="s">
        <v>245</v>
      </c>
      <c r="I9" s="167"/>
      <c r="J9" s="166" t="s">
        <v>30</v>
      </c>
      <c r="K9" s="167"/>
      <c r="L9" s="1"/>
    </row>
    <row r="10" spans="1:12" x14ac:dyDescent="0.25">
      <c r="A10" s="1"/>
      <c r="B10" s="102" t="s">
        <v>274</v>
      </c>
      <c r="C10" s="42">
        <v>0</v>
      </c>
      <c r="D10" s="9">
        <v>0</v>
      </c>
      <c r="E10" s="14" t="s">
        <v>3</v>
      </c>
      <c r="F10" s="9">
        <f>IFERROR(D10/C10,0)</f>
        <v>0</v>
      </c>
      <c r="G10" s="14" t="s">
        <v>3</v>
      </c>
      <c r="H10" s="45">
        <v>0</v>
      </c>
      <c r="I10" s="14" t="s">
        <v>3</v>
      </c>
      <c r="J10" s="45">
        <v>0</v>
      </c>
      <c r="K10" s="14" t="s">
        <v>3</v>
      </c>
      <c r="L10" s="1"/>
    </row>
    <row r="11" spans="1:12" x14ac:dyDescent="0.25">
      <c r="A11" s="1"/>
      <c r="B11" s="95" t="s">
        <v>221</v>
      </c>
      <c r="C11" s="96"/>
      <c r="D11" s="97"/>
      <c r="E11" s="97"/>
      <c r="F11" s="12">
        <f>SUM(F10:F10)</f>
        <v>0</v>
      </c>
      <c r="G11" s="12" t="s">
        <v>244</v>
      </c>
      <c r="H11" s="12">
        <f>SUM(H10:H10)</f>
        <v>0</v>
      </c>
      <c r="I11" s="12" t="s">
        <v>244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sheetData>
  <sheetProtection algorithmName="SHA-512" hashValue="0ryW0O3ClMUZTNOfE2pujFD5BjNCpcWL3/GdDCyqyUxSF2XgLeMF0FSmRowUe/o96Q/SFYJaaRuKLPK5p2yCEA==" saltValue="TDBexfS4cOzbmiW9Kxeyqg=="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4" t="s">
        <v>257</v>
      </c>
      <c r="C3" s="124"/>
      <c r="D3" s="124"/>
      <c r="E3" s="124"/>
      <c r="F3" s="124"/>
      <c r="G3" s="1"/>
    </row>
    <row r="4" spans="1:7" ht="15" customHeight="1" x14ac:dyDescent="0.25">
      <c r="A4" s="1"/>
      <c r="B4" s="124"/>
      <c r="C4" s="124"/>
      <c r="D4" s="124"/>
      <c r="E4" s="124"/>
      <c r="F4" s="12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80</v>
      </c>
      <c r="C8" s="28"/>
      <c r="D8" s="28"/>
      <c r="E8" s="28"/>
      <c r="F8" s="19"/>
      <c r="G8" s="1"/>
    </row>
    <row r="9" spans="1:7" ht="17.25" customHeight="1" x14ac:dyDescent="0.25">
      <c r="A9" s="1"/>
      <c r="B9" s="81" t="s">
        <v>17</v>
      </c>
      <c r="C9" s="81" t="s">
        <v>11</v>
      </c>
      <c r="D9" s="82"/>
      <c r="E9" s="81" t="s">
        <v>31</v>
      </c>
      <c r="F9" s="32"/>
      <c r="G9" s="1"/>
    </row>
    <row r="10" spans="1:7" x14ac:dyDescent="0.25">
      <c r="A10" s="1"/>
      <c r="B10" s="24" t="s">
        <v>227</v>
      </c>
      <c r="C10" s="21">
        <f>'Fane 10. Anlægsprojekter (§ 19)'!H11</f>
        <v>0</v>
      </c>
      <c r="D10" s="14" t="s">
        <v>3</v>
      </c>
      <c r="E10" s="9">
        <f>SUM('Fane 10. Anlægsprojekter (§ 19)'!F11,'Fane 10. Anlægsprojekter (§ 19)'!J11)</f>
        <v>0</v>
      </c>
      <c r="F10" s="14" t="s">
        <v>3</v>
      </c>
      <c r="G10" s="1"/>
    </row>
    <row r="11" spans="1:7" x14ac:dyDescent="0.25">
      <c r="A11" s="1"/>
      <c r="B11" s="24" t="s">
        <v>272</v>
      </c>
      <c r="C11" s="21">
        <v>0</v>
      </c>
      <c r="D11" s="14" t="s">
        <v>3</v>
      </c>
      <c r="E11" s="9">
        <v>11768</v>
      </c>
      <c r="F11" s="14" t="s">
        <v>3</v>
      </c>
      <c r="G11" s="1"/>
    </row>
    <row r="12" spans="1:7" x14ac:dyDescent="0.25">
      <c r="A12" s="1"/>
      <c r="B12" s="24" t="s">
        <v>273</v>
      </c>
      <c r="C12" s="21">
        <v>57086</v>
      </c>
      <c r="D12" s="14" t="s">
        <v>3</v>
      </c>
      <c r="E12" s="9">
        <v>942687</v>
      </c>
      <c r="F12" s="14" t="s">
        <v>3</v>
      </c>
      <c r="G12" s="1"/>
    </row>
    <row r="13" spans="1:7" x14ac:dyDescent="0.25">
      <c r="A13" s="1"/>
      <c r="B13" s="33" t="s">
        <v>156</v>
      </c>
      <c r="C13" s="12">
        <f>SUM(C10:C12)</f>
        <v>57086</v>
      </c>
      <c r="D13" s="13" t="s">
        <v>3</v>
      </c>
      <c r="E13" s="12">
        <f>SUM(E10:E12)</f>
        <v>954455</v>
      </c>
      <c r="F13" s="13" t="s">
        <v>3</v>
      </c>
      <c r="G13" s="1"/>
    </row>
    <row r="14" spans="1:7" x14ac:dyDescent="0.25">
      <c r="A14" s="1"/>
      <c r="B14" s="33" t="s">
        <v>213</v>
      </c>
      <c r="C14" s="12">
        <f>C13*(1+'Fane 15. Nøgletal'!C15)</f>
        <v>59118.261600000005</v>
      </c>
      <c r="D14" s="13" t="s">
        <v>3</v>
      </c>
      <c r="E14" s="12">
        <f>E13*(1+'Fane 15. Nøgletal'!C15)</f>
        <v>988433.59800000011</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W2hSf/mljUUOaYFtQ93lmZjBhO332qPEhoEPIPP2zt8bWiambbc6TUiEz7H7RIhd7tFRrMSw0jRj+ZGNnUcyyw==" saltValue="ji1KWLTTG7fjVPxCQAv4tg=="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G36"/>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42578125" style="2" bestFit="1" customWidth="1"/>
    <col min="5" max="5" width="17.7109375" style="2" bestFit="1"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4" t="s">
        <v>258</v>
      </c>
      <c r="C3" s="124"/>
      <c r="D3" s="124"/>
      <c r="E3" s="124"/>
      <c r="F3" s="124"/>
      <c r="G3" s="1"/>
    </row>
    <row r="4" spans="1:7" ht="15" customHeight="1" x14ac:dyDescent="0.25">
      <c r="A4" s="1"/>
      <c r="B4" s="124"/>
      <c r="C4" s="124"/>
      <c r="D4" s="124"/>
      <c r="E4" s="124"/>
      <c r="F4" s="12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36" t="s">
        <v>97</v>
      </c>
      <c r="C8" s="137"/>
      <c r="D8" s="137"/>
      <c r="E8" s="137"/>
      <c r="F8" s="138"/>
      <c r="G8" s="1"/>
    </row>
    <row r="9" spans="1:7" x14ac:dyDescent="0.25">
      <c r="A9" s="1"/>
      <c r="B9" s="81" t="s">
        <v>17</v>
      </c>
      <c r="C9" s="81" t="s">
        <v>11</v>
      </c>
      <c r="D9" s="82"/>
      <c r="E9" s="81" t="s">
        <v>31</v>
      </c>
      <c r="F9" s="32"/>
      <c r="G9" s="1"/>
    </row>
    <row r="10" spans="1:7" x14ac:dyDescent="0.25">
      <c r="A10" s="1"/>
      <c r="B10" s="24" t="s">
        <v>287</v>
      </c>
      <c r="C10" s="21">
        <v>0</v>
      </c>
      <c r="D10" s="14" t="s">
        <v>3</v>
      </c>
      <c r="E10" s="9">
        <v>0</v>
      </c>
      <c r="F10" s="14" t="s">
        <v>3</v>
      </c>
      <c r="G10" s="1"/>
    </row>
    <row r="11" spans="1:7" x14ac:dyDescent="0.25">
      <c r="A11" s="1"/>
      <c r="B11" s="33" t="s">
        <v>233</v>
      </c>
      <c r="C11" s="12">
        <f>SUM(C10:C10)</f>
        <v>0</v>
      </c>
      <c r="D11" s="13" t="s">
        <v>3</v>
      </c>
      <c r="E11" s="12">
        <f>SUM(E10:E10)</f>
        <v>0</v>
      </c>
      <c r="F11" s="13" t="s">
        <v>3</v>
      </c>
      <c r="G11" s="1"/>
    </row>
    <row r="12" spans="1:7" x14ac:dyDescent="0.25">
      <c r="A12" s="1"/>
      <c r="B12" s="33" t="s">
        <v>136</v>
      </c>
      <c r="C12" s="12">
        <f>C11*(1+'Fane 15. Nøgletal'!C15)^2</f>
        <v>0</v>
      </c>
      <c r="D12" s="13" t="s">
        <v>3</v>
      </c>
      <c r="E12" s="12">
        <f>E11*(1+'Fane 15. Nøgletal'!C15)^2</f>
        <v>0</v>
      </c>
      <c r="F12" s="13" t="s">
        <v>3</v>
      </c>
      <c r="G12" s="1"/>
    </row>
    <row r="13" spans="1:7" x14ac:dyDescent="0.25">
      <c r="A13" s="1"/>
      <c r="B13" s="1"/>
      <c r="C13" s="1"/>
      <c r="D13" s="1"/>
      <c r="E13" s="1"/>
      <c r="F13" s="1"/>
      <c r="G13" s="1"/>
    </row>
    <row r="14" spans="1:7" x14ac:dyDescent="0.25">
      <c r="A14" s="1"/>
      <c r="B14" s="168"/>
      <c r="C14" s="168"/>
      <c r="D14" s="168"/>
      <c r="E14" s="168"/>
      <c r="F14" s="168"/>
      <c r="G14" s="1"/>
    </row>
    <row r="15" spans="1:7" x14ac:dyDescent="0.25">
      <c r="A15" s="1"/>
      <c r="B15" s="63"/>
      <c r="C15" s="63"/>
      <c r="D15" s="63"/>
      <c r="E15" s="63"/>
      <c r="F15" s="64"/>
      <c r="G15" s="1"/>
    </row>
    <row r="16" spans="1:7" x14ac:dyDescent="0.25">
      <c r="A16" s="1"/>
      <c r="B16" s="65"/>
      <c r="C16" s="66"/>
      <c r="D16" s="67"/>
      <c r="E16" s="68"/>
      <c r="F16" s="67"/>
      <c r="G16" s="1"/>
    </row>
    <row r="17" spans="1:7" x14ac:dyDescent="0.25">
      <c r="A17" s="1"/>
      <c r="B17" s="65"/>
      <c r="C17" s="66"/>
      <c r="D17" s="67"/>
      <c r="E17" s="68"/>
      <c r="F17" s="67"/>
      <c r="G17" s="1"/>
    </row>
    <row r="18" spans="1:7" x14ac:dyDescent="0.25">
      <c r="A18" s="1"/>
      <c r="B18" s="69"/>
      <c r="C18" s="70"/>
      <c r="D18" s="71"/>
      <c r="E18" s="70"/>
      <c r="F18" s="71"/>
      <c r="G18" s="1"/>
    </row>
    <row r="19" spans="1:7" x14ac:dyDescent="0.25">
      <c r="A19" s="1"/>
      <c r="B19" s="69"/>
      <c r="C19" s="70"/>
      <c r="D19" s="71"/>
      <c r="E19" s="70"/>
      <c r="F19" s="71"/>
      <c r="G19" s="1"/>
    </row>
    <row r="20" spans="1:7" x14ac:dyDescent="0.25">
      <c r="A20" s="1"/>
      <c r="B20" s="62"/>
      <c r="C20" s="62"/>
      <c r="D20" s="62"/>
      <c r="E20" s="62"/>
      <c r="F20" s="62"/>
      <c r="G20" s="1"/>
    </row>
    <row r="21" spans="1:7" x14ac:dyDescent="0.25">
      <c r="A21" s="1"/>
      <c r="B21" s="168"/>
      <c r="C21" s="168"/>
      <c r="D21" s="168"/>
      <c r="E21" s="168"/>
      <c r="F21" s="168"/>
      <c r="G21" s="1"/>
    </row>
    <row r="22" spans="1:7" x14ac:dyDescent="0.25">
      <c r="A22" s="1"/>
      <c r="B22" s="63"/>
      <c r="C22" s="63"/>
      <c r="D22" s="63"/>
      <c r="E22" s="63"/>
      <c r="F22" s="64"/>
      <c r="G22" s="1"/>
    </row>
    <row r="23" spans="1:7" x14ac:dyDescent="0.25">
      <c r="A23" s="1"/>
      <c r="B23" s="65"/>
      <c r="C23" s="66"/>
      <c r="D23" s="67"/>
      <c r="E23" s="68"/>
      <c r="F23" s="67"/>
      <c r="G23" s="1"/>
    </row>
    <row r="24" spans="1:7" x14ac:dyDescent="0.25">
      <c r="A24" s="1"/>
      <c r="B24" s="65"/>
      <c r="C24" s="66"/>
      <c r="D24" s="67"/>
      <c r="E24" s="68"/>
      <c r="F24" s="67"/>
      <c r="G24" s="1"/>
    </row>
    <row r="25" spans="1:7" x14ac:dyDescent="0.25">
      <c r="A25" s="1"/>
      <c r="B25" s="69"/>
      <c r="C25" s="70"/>
      <c r="D25" s="71"/>
      <c r="E25" s="70"/>
      <c r="F25" s="71"/>
      <c r="G25" s="1"/>
    </row>
    <row r="26" spans="1:7" x14ac:dyDescent="0.25">
      <c r="A26" s="1"/>
      <c r="B26" s="69"/>
      <c r="C26" s="70"/>
      <c r="D26" s="71"/>
      <c r="E26" s="70"/>
      <c r="F26" s="71"/>
      <c r="G26" s="1"/>
    </row>
    <row r="27" spans="1:7" x14ac:dyDescent="0.25">
      <c r="A27" s="1"/>
      <c r="B27" s="62"/>
      <c r="C27" s="62"/>
      <c r="D27" s="62"/>
      <c r="E27" s="62"/>
      <c r="F27" s="62"/>
      <c r="G27" s="1"/>
    </row>
    <row r="28" spans="1:7" x14ac:dyDescent="0.25">
      <c r="A28" s="1"/>
      <c r="B28" s="168"/>
      <c r="C28" s="168"/>
      <c r="D28" s="168"/>
      <c r="E28" s="168"/>
      <c r="F28" s="168"/>
      <c r="G28" s="1"/>
    </row>
    <row r="29" spans="1:7" x14ac:dyDescent="0.25">
      <c r="A29" s="1"/>
      <c r="B29" s="63"/>
      <c r="C29" s="63"/>
      <c r="D29" s="63"/>
      <c r="E29" s="63"/>
      <c r="F29" s="64"/>
      <c r="G29" s="1"/>
    </row>
    <row r="30" spans="1:7" x14ac:dyDescent="0.25">
      <c r="A30" s="1"/>
      <c r="B30" s="65"/>
      <c r="C30" s="66"/>
      <c r="D30" s="67"/>
      <c r="E30" s="68"/>
      <c r="F30" s="67"/>
      <c r="G30" s="1"/>
    </row>
    <row r="31" spans="1:7" x14ac:dyDescent="0.25">
      <c r="A31" s="1"/>
      <c r="B31" s="65"/>
      <c r="C31" s="66"/>
      <c r="D31" s="67"/>
      <c r="E31" s="68"/>
      <c r="F31" s="67"/>
      <c r="G31" s="1"/>
    </row>
    <row r="32" spans="1:7" x14ac:dyDescent="0.25">
      <c r="A32" s="1"/>
      <c r="B32" s="69"/>
      <c r="C32" s="70"/>
      <c r="D32" s="71"/>
      <c r="E32" s="70"/>
      <c r="F32" s="71"/>
      <c r="G32" s="1"/>
    </row>
    <row r="33" spans="1:7" x14ac:dyDescent="0.25">
      <c r="A33" s="1"/>
      <c r="B33" s="69"/>
      <c r="C33" s="70"/>
      <c r="D33" s="71"/>
      <c r="E33" s="70"/>
      <c r="F33" s="7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sheetData>
  <sheetProtection algorithmName="SHA-512" hashValue="RVhV6YIf3yQD14SUj+cRyNXo+pGZiUAF05q4ewF9V0yQERcaclCMveLoWwDJdKOCSTv412/SSi4Z9iRweisf8g==" saltValue="9uxPxdT6NsWjuyFWra11eg==" spinCount="100000" sheet="1" objects="1" scenarios="1"/>
  <mergeCells count="5">
    <mergeCell ref="B28:F28"/>
    <mergeCell ref="B3:F4"/>
    <mergeCell ref="B8:F8"/>
    <mergeCell ref="B14:F14"/>
    <mergeCell ref="B21:F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9" t="s">
        <v>259</v>
      </c>
      <c r="C3" s="129"/>
      <c r="D3" s="129"/>
      <c r="E3" s="129"/>
      <c r="F3" s="129"/>
      <c r="G3" s="1"/>
    </row>
    <row r="4" spans="1:7" ht="15" customHeight="1" x14ac:dyDescent="0.25">
      <c r="A4" s="1"/>
      <c r="B4" s="129"/>
      <c r="C4" s="129"/>
      <c r="D4" s="129"/>
      <c r="E4" s="129"/>
      <c r="F4" s="129"/>
      <c r="G4" s="1"/>
    </row>
    <row r="5" spans="1:7" x14ac:dyDescent="0.25">
      <c r="A5" s="1"/>
      <c r="B5" s="129"/>
      <c r="C5" s="129"/>
      <c r="D5" s="129"/>
      <c r="E5" s="129"/>
      <c r="F5" s="129"/>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36" t="s">
        <v>91</v>
      </c>
      <c r="C9" s="137"/>
      <c r="D9" s="137"/>
      <c r="E9" s="137"/>
      <c r="F9" s="138"/>
      <c r="G9" s="1"/>
    </row>
    <row r="10" spans="1:7" x14ac:dyDescent="0.25">
      <c r="A10" s="1"/>
      <c r="B10" s="163" t="s">
        <v>225</v>
      </c>
      <c r="C10" s="164"/>
      <c r="D10" s="165"/>
      <c r="E10" s="9">
        <v>0</v>
      </c>
      <c r="F10" s="14" t="s">
        <v>3</v>
      </c>
      <c r="G10" s="1"/>
    </row>
    <row r="11" spans="1:7" x14ac:dyDescent="0.25">
      <c r="A11" s="1"/>
      <c r="B11" s="130" t="s">
        <v>10</v>
      </c>
      <c r="C11" s="131"/>
      <c r="D11" s="132"/>
      <c r="E11" s="9">
        <f>-E10*'Fane 5. Individuelt eff. krav'!G9</f>
        <v>0</v>
      </c>
      <c r="F11" s="14" t="s">
        <v>3</v>
      </c>
      <c r="G11" s="1"/>
    </row>
    <row r="12" spans="1:7" x14ac:dyDescent="0.25">
      <c r="A12" s="1"/>
      <c r="B12" s="130" t="s">
        <v>24</v>
      </c>
      <c r="C12" s="131"/>
      <c r="D12" s="132"/>
      <c r="E12" s="9">
        <f>-E10*'Fane 15. Nøgletal'!C31</f>
        <v>0</v>
      </c>
      <c r="F12" s="14" t="s">
        <v>3</v>
      </c>
      <c r="G12" s="1"/>
    </row>
    <row r="13" spans="1:7" x14ac:dyDescent="0.25">
      <c r="A13" s="1"/>
      <c r="B13" s="136" t="s">
        <v>92</v>
      </c>
      <c r="C13" s="137"/>
      <c r="D13" s="138"/>
      <c r="E13" s="12">
        <f>SUM(E10:E12)*(1+'Fane 15. Nøgletal'!C15)^2</f>
        <v>0</v>
      </c>
      <c r="F13" s="13" t="s">
        <v>3</v>
      </c>
      <c r="G13" s="1"/>
    </row>
    <row r="14" spans="1:7" x14ac:dyDescent="0.25">
      <c r="A14" s="1"/>
      <c r="B14" s="1"/>
      <c r="C14" s="1"/>
      <c r="D14" s="1"/>
      <c r="E14" s="1"/>
      <c r="F14" s="1"/>
      <c r="G14" s="1"/>
    </row>
    <row r="15" spans="1:7" ht="15" customHeight="1" x14ac:dyDescent="0.25">
      <c r="A15" s="1"/>
      <c r="B15" s="136" t="s">
        <v>130</v>
      </c>
      <c r="C15" s="137"/>
      <c r="D15" s="137"/>
      <c r="E15" s="137"/>
      <c r="F15" s="138"/>
      <c r="G15" s="1"/>
    </row>
    <row r="16" spans="1:7" x14ac:dyDescent="0.25">
      <c r="A16" s="1"/>
      <c r="B16" s="163" t="s">
        <v>225</v>
      </c>
      <c r="C16" s="164"/>
      <c r="D16" s="165"/>
      <c r="E16" s="9">
        <v>0</v>
      </c>
      <c r="F16" s="14" t="s">
        <v>3</v>
      </c>
      <c r="G16" s="1"/>
    </row>
    <row r="17" spans="1:7" x14ac:dyDescent="0.25">
      <c r="A17" s="1"/>
      <c r="B17" s="130" t="s">
        <v>10</v>
      </c>
      <c r="C17" s="131"/>
      <c r="D17" s="132"/>
      <c r="E17" s="9">
        <f>-E16*'Fane 5. Individuelt eff. krav'!G9</f>
        <v>0</v>
      </c>
      <c r="F17" s="14" t="s">
        <v>3</v>
      </c>
      <c r="G17" s="1"/>
    </row>
    <row r="18" spans="1:7" x14ac:dyDescent="0.25">
      <c r="A18" s="1"/>
      <c r="B18" s="130" t="s">
        <v>24</v>
      </c>
      <c r="C18" s="131"/>
      <c r="D18" s="132"/>
      <c r="E18" s="9">
        <f>-E16*'Fane 15. Nøgletal'!C31</f>
        <v>0</v>
      </c>
      <c r="F18" s="14" t="s">
        <v>3</v>
      </c>
      <c r="G18" s="1"/>
    </row>
    <row r="19" spans="1:7" x14ac:dyDescent="0.25">
      <c r="A19" s="1"/>
      <c r="B19" s="136" t="s">
        <v>131</v>
      </c>
      <c r="C19" s="137"/>
      <c r="D19" s="138"/>
      <c r="E19" s="12">
        <f>SUM(E16:E18)*(1+'Fane 15. Nøgletal'!C15)^3</f>
        <v>0</v>
      </c>
      <c r="F19" s="13" t="s">
        <v>3</v>
      </c>
      <c r="G19" s="1"/>
    </row>
    <row r="20" spans="1:7" x14ac:dyDescent="0.25">
      <c r="A20" s="1"/>
      <c r="B20" s="1"/>
      <c r="C20" s="1"/>
      <c r="D20" s="1"/>
      <c r="E20" s="1"/>
      <c r="F20" s="1"/>
      <c r="G20" s="1"/>
    </row>
    <row r="21" spans="1:7" ht="15" customHeight="1" x14ac:dyDescent="0.25">
      <c r="A21" s="1"/>
      <c r="B21" s="136" t="s">
        <v>157</v>
      </c>
      <c r="C21" s="137"/>
      <c r="D21" s="137"/>
      <c r="E21" s="137"/>
      <c r="F21" s="138"/>
      <c r="G21" s="1"/>
    </row>
    <row r="22" spans="1:7" x14ac:dyDescent="0.25">
      <c r="A22" s="1"/>
      <c r="B22" s="163" t="s">
        <v>225</v>
      </c>
      <c r="C22" s="164"/>
      <c r="D22" s="165"/>
      <c r="E22" s="9">
        <v>0</v>
      </c>
      <c r="F22" s="14" t="s">
        <v>3</v>
      </c>
      <c r="G22" s="1"/>
    </row>
    <row r="23" spans="1:7" x14ac:dyDescent="0.25">
      <c r="A23" s="1"/>
      <c r="B23" s="130" t="s">
        <v>10</v>
      </c>
      <c r="C23" s="131"/>
      <c r="D23" s="132"/>
      <c r="E23" s="9">
        <f>-E22*'Fane 5. Individuelt eff. krav'!G9</f>
        <v>0</v>
      </c>
      <c r="F23" s="14" t="s">
        <v>3</v>
      </c>
      <c r="G23" s="1"/>
    </row>
    <row r="24" spans="1:7" x14ac:dyDescent="0.25">
      <c r="A24" s="1"/>
      <c r="B24" s="130" t="s">
        <v>24</v>
      </c>
      <c r="C24" s="131"/>
      <c r="D24" s="132"/>
      <c r="E24" s="9">
        <f>-E22*'Fane 15. Nøgletal'!C31</f>
        <v>0</v>
      </c>
      <c r="F24" s="14" t="s">
        <v>3</v>
      </c>
      <c r="G24" s="1"/>
    </row>
    <row r="25" spans="1:7" x14ac:dyDescent="0.25">
      <c r="A25" s="1"/>
      <c r="B25" s="136" t="s">
        <v>158</v>
      </c>
      <c r="C25" s="137"/>
      <c r="D25" s="138"/>
      <c r="E25" s="12">
        <f>SUM(E22:E24)*(1+'Fane 15. Nøgletal'!C15)^4</f>
        <v>0</v>
      </c>
      <c r="F25" s="13" t="s">
        <v>3</v>
      </c>
      <c r="G25" s="1"/>
    </row>
    <row r="26" spans="1:7" x14ac:dyDescent="0.25">
      <c r="A26" s="1"/>
      <c r="B26" s="1"/>
      <c r="C26" s="1"/>
      <c r="D26" s="1"/>
      <c r="E26" s="1"/>
      <c r="F26" s="1"/>
      <c r="G26" s="1"/>
    </row>
    <row r="27" spans="1:7" ht="15" customHeight="1" x14ac:dyDescent="0.25">
      <c r="A27" s="1"/>
      <c r="B27" s="136" t="s">
        <v>214</v>
      </c>
      <c r="C27" s="137"/>
      <c r="D27" s="137"/>
      <c r="E27" s="137"/>
      <c r="F27" s="138"/>
      <c r="G27" s="1"/>
    </row>
    <row r="28" spans="1:7" ht="14.25" customHeight="1" x14ac:dyDescent="0.25">
      <c r="A28" s="1"/>
      <c r="B28" s="163" t="s">
        <v>225</v>
      </c>
      <c r="C28" s="164"/>
      <c r="D28" s="165"/>
      <c r="E28" s="9">
        <v>0</v>
      </c>
      <c r="F28" s="14" t="s">
        <v>3</v>
      </c>
      <c r="G28" s="1"/>
    </row>
    <row r="29" spans="1:7" x14ac:dyDescent="0.25">
      <c r="A29" s="1"/>
      <c r="B29" s="130" t="s">
        <v>10</v>
      </c>
      <c r="C29" s="131"/>
      <c r="D29" s="132"/>
      <c r="E29" s="9">
        <f>-E28*'Fane 5. Individuelt eff. krav'!G9</f>
        <v>0</v>
      </c>
      <c r="F29" s="14" t="s">
        <v>3</v>
      </c>
      <c r="G29" s="1"/>
    </row>
    <row r="30" spans="1:7" x14ac:dyDescent="0.25">
      <c r="A30" s="1"/>
      <c r="B30" s="130" t="s">
        <v>24</v>
      </c>
      <c r="C30" s="131"/>
      <c r="D30" s="132"/>
      <c r="E30" s="9">
        <f>-E28*'Fane 15. Nøgletal'!C31</f>
        <v>0</v>
      </c>
      <c r="F30" s="14" t="s">
        <v>3</v>
      </c>
      <c r="G30" s="1"/>
    </row>
    <row r="31" spans="1:7" x14ac:dyDescent="0.25">
      <c r="A31" s="1"/>
      <c r="B31" s="136" t="s">
        <v>215</v>
      </c>
      <c r="C31" s="137"/>
      <c r="D31" s="138"/>
      <c r="E31" s="12">
        <f>SUM(E28:E30)*(1+'Fane 15. Nøgletal'!C15)^5</f>
        <v>0</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NKI57pCsHrUCi66FwGEs9KzIKfyh8yoK5oIwjzwvxnLEr+Y7OouTQBpPYl7t2pUJuuGh/r82+0WUDD5BJ7U2Hg==" saltValue="I30e4m/blq/WCNTVdaifjA==" spinCount="100000" sheet="1" objects="1" scenarios="1"/>
  <mergeCells count="21">
    <mergeCell ref="B27:F27"/>
    <mergeCell ref="B28:D28"/>
    <mergeCell ref="B29:D29"/>
    <mergeCell ref="B30:D30"/>
    <mergeCell ref="B31:D31"/>
    <mergeCell ref="B25:D25"/>
    <mergeCell ref="B21:F21"/>
    <mergeCell ref="B22:D22"/>
    <mergeCell ref="B19:D19"/>
    <mergeCell ref="B16:D16"/>
    <mergeCell ref="B17:D17"/>
    <mergeCell ref="B18:D18"/>
    <mergeCell ref="B23:D23"/>
    <mergeCell ref="B24:D24"/>
    <mergeCell ref="B3:F5"/>
    <mergeCell ref="B13:D13"/>
    <mergeCell ref="B15:F15"/>
    <mergeCell ref="B9:F9"/>
    <mergeCell ref="B10:D10"/>
    <mergeCell ref="B11:D11"/>
    <mergeCell ref="B12:D1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G45"/>
  <sheetViews>
    <sheetView showGridLines="0" view="pageLayout" zoomScaleNormal="100" workbookViewId="0"/>
  </sheetViews>
  <sheetFormatPr defaultColWidth="9.140625" defaultRowHeight="15" x14ac:dyDescent="0.25"/>
  <cols>
    <col min="1" max="1" width="3.5703125" style="2" customWidth="1"/>
    <col min="2" max="2" width="40.5703125" style="2" customWidth="1"/>
    <col min="3" max="3" width="15.5703125" style="2" customWidth="1"/>
    <col min="4" max="4" width="3.28515625" style="2" customWidth="1"/>
    <col min="5" max="5" width="17.140625" style="2" customWidth="1"/>
    <col min="6" max="6" width="3.28515625" style="2" customWidth="1"/>
    <col min="7" max="7" width="3.5703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9" t="s">
        <v>260</v>
      </c>
      <c r="C3" s="129"/>
      <c r="D3" s="129"/>
      <c r="E3" s="129"/>
      <c r="F3" s="129"/>
      <c r="G3" s="1"/>
    </row>
    <row r="4" spans="1:7" ht="25.5" customHeight="1" x14ac:dyDescent="0.25">
      <c r="A4" s="1"/>
      <c r="B4" s="129"/>
      <c r="C4" s="129"/>
      <c r="D4" s="129"/>
      <c r="E4" s="129"/>
      <c r="F4" s="12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36" t="s">
        <v>132</v>
      </c>
      <c r="C8" s="137"/>
      <c r="D8" s="137"/>
      <c r="E8" s="137"/>
      <c r="F8" s="138"/>
      <c r="G8" s="1"/>
    </row>
    <row r="9" spans="1:7" ht="15" customHeight="1" x14ac:dyDescent="0.25">
      <c r="A9" s="1"/>
      <c r="B9" s="31" t="s">
        <v>133</v>
      </c>
      <c r="C9" s="31" t="s">
        <v>11</v>
      </c>
      <c r="D9" s="32"/>
      <c r="E9" s="31" t="s">
        <v>31</v>
      </c>
      <c r="F9" s="32"/>
      <c r="G9" s="1"/>
    </row>
    <row r="10" spans="1:7" x14ac:dyDescent="0.25">
      <c r="A10" s="1"/>
      <c r="B10" s="24" t="s">
        <v>271</v>
      </c>
      <c r="C10" s="9">
        <v>0</v>
      </c>
      <c r="D10" s="14" t="s">
        <v>3</v>
      </c>
      <c r="E10" s="9">
        <v>0</v>
      </c>
      <c r="F10" s="14" t="s">
        <v>3</v>
      </c>
      <c r="G10" s="1"/>
    </row>
    <row r="11" spans="1:7" ht="28.5" customHeight="1" x14ac:dyDescent="0.25">
      <c r="A11" s="1"/>
      <c r="B11" s="20" t="s">
        <v>159</v>
      </c>
      <c r="C11" s="12">
        <f>SUM(C10:C10)</f>
        <v>0</v>
      </c>
      <c r="D11" s="13" t="s">
        <v>3</v>
      </c>
      <c r="E11" s="12">
        <f>SUM(E10:E10)</f>
        <v>0</v>
      </c>
      <c r="F11" s="13" t="s">
        <v>3</v>
      </c>
      <c r="G11" s="1"/>
    </row>
    <row r="12" spans="1:7" ht="27" customHeight="1" x14ac:dyDescent="0.25">
      <c r="A12" s="1"/>
      <c r="B12" s="20" t="s">
        <v>217</v>
      </c>
      <c r="C12" s="12">
        <f>C11*(1+'Fane 15. Nøgletal'!C15)</f>
        <v>0</v>
      </c>
      <c r="D12" s="13" t="s">
        <v>3</v>
      </c>
      <c r="E12" s="12">
        <f>E11*(1+'Fane 15. Nøgletal'!C15)</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OAgTb3gi9u0mrFWm34ecfQ9g7WhktJMutLN71Zl6v61fPMkWn5ju77rbDxiR3ln8pTH/kTbAP3LF8kXLIwV1qg==" saltValue="w/P0zcC3mmlGtqUW7wTtyA==" spinCount="100000" sheet="1" objects="1" scenarios="1"/>
  <mergeCells count="2">
    <mergeCell ref="B3:F4"/>
    <mergeCell ref="B8:F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G41"/>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8.425781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9" t="s">
        <v>261</v>
      </c>
      <c r="C3" s="129"/>
      <c r="D3" s="129"/>
      <c r="E3" s="129"/>
      <c r="F3" s="129"/>
      <c r="G3" s="1"/>
    </row>
    <row r="4" spans="1:7" ht="25.5" customHeight="1" x14ac:dyDescent="0.25">
      <c r="A4" s="1"/>
      <c r="B4" s="129"/>
      <c r="C4" s="129"/>
      <c r="D4" s="129"/>
      <c r="E4" s="129"/>
      <c r="F4" s="12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36" t="s">
        <v>93</v>
      </c>
      <c r="C9" s="137"/>
      <c r="D9" s="137"/>
      <c r="E9" s="137"/>
      <c r="F9" s="138"/>
      <c r="G9" s="1"/>
    </row>
    <row r="10" spans="1:7" ht="26.25" x14ac:dyDescent="0.25">
      <c r="A10" s="1"/>
      <c r="B10" s="31" t="s">
        <v>18</v>
      </c>
      <c r="C10" s="31" t="s">
        <v>11</v>
      </c>
      <c r="D10" s="32"/>
      <c r="E10" s="31" t="s">
        <v>31</v>
      </c>
      <c r="F10" s="32"/>
      <c r="G10" s="1"/>
    </row>
    <row r="11" spans="1:7" x14ac:dyDescent="0.25">
      <c r="A11" s="1"/>
      <c r="B11" s="24" t="s">
        <v>177</v>
      </c>
      <c r="C11" s="9">
        <v>0</v>
      </c>
      <c r="D11" s="14" t="s">
        <v>3</v>
      </c>
      <c r="E11" s="9">
        <v>0</v>
      </c>
      <c r="F11" s="14" t="s">
        <v>3</v>
      </c>
      <c r="G11" s="1"/>
    </row>
    <row r="12" spans="1:7" x14ac:dyDescent="0.25">
      <c r="A12" s="1"/>
      <c r="B12" s="33" t="s">
        <v>235</v>
      </c>
      <c r="C12" s="12">
        <f>SUM(C11:C11)</f>
        <v>0</v>
      </c>
      <c r="D12" s="13" t="s">
        <v>3</v>
      </c>
      <c r="E12" s="12">
        <f>SUM(E11:E11)</f>
        <v>0</v>
      </c>
      <c r="F12" s="13" t="s">
        <v>3</v>
      </c>
      <c r="G12" s="1"/>
    </row>
    <row r="13" spans="1:7" x14ac:dyDescent="0.25">
      <c r="A13" s="1"/>
      <c r="B13" s="33" t="s">
        <v>89</v>
      </c>
      <c r="C13" s="12">
        <f>C12*(1+'Fane 15. Nøgletal'!C15)</f>
        <v>0</v>
      </c>
      <c r="D13" s="13" t="s">
        <v>3</v>
      </c>
      <c r="E13" s="12">
        <f>E12*(1+'Fane 15. Nøgletal'!C15)</f>
        <v>0</v>
      </c>
      <c r="F13" s="13" t="s">
        <v>3</v>
      </c>
      <c r="G13" s="1"/>
    </row>
    <row r="14" spans="1:7" x14ac:dyDescent="0.25">
      <c r="A14" s="1"/>
      <c r="B14" s="1"/>
      <c r="C14" s="1"/>
      <c r="D14" s="1"/>
      <c r="E14" s="1"/>
      <c r="F14" s="1"/>
      <c r="G14" s="1"/>
    </row>
    <row r="15" spans="1:7" x14ac:dyDescent="0.25">
      <c r="A15" s="1"/>
      <c r="B15" s="168"/>
      <c r="C15" s="168"/>
      <c r="D15" s="168"/>
      <c r="E15" s="168"/>
      <c r="F15" s="168"/>
      <c r="G15" s="1"/>
    </row>
    <row r="16" spans="1:7" x14ac:dyDescent="0.25">
      <c r="A16" s="1"/>
      <c r="B16" s="64"/>
      <c r="C16" s="64"/>
      <c r="D16" s="64"/>
      <c r="E16" s="64"/>
      <c r="F16" s="64"/>
      <c r="G16" s="1"/>
    </row>
    <row r="17" spans="1:7" x14ac:dyDescent="0.25">
      <c r="A17" s="1"/>
      <c r="B17" s="65"/>
      <c r="C17" s="68"/>
      <c r="D17" s="67"/>
      <c r="E17" s="68"/>
      <c r="F17" s="67"/>
      <c r="G17" s="1"/>
    </row>
    <row r="18" spans="1:7" x14ac:dyDescent="0.25">
      <c r="A18" s="1"/>
      <c r="B18" s="69"/>
      <c r="C18" s="70"/>
      <c r="D18" s="71"/>
      <c r="E18" s="70"/>
      <c r="F18" s="71"/>
      <c r="G18" s="1"/>
    </row>
    <row r="19" spans="1:7" x14ac:dyDescent="0.25">
      <c r="A19" s="1"/>
      <c r="B19" s="69"/>
      <c r="C19" s="70"/>
      <c r="D19" s="71"/>
      <c r="E19" s="70"/>
      <c r="F19" s="71"/>
      <c r="G19" s="1"/>
    </row>
    <row r="20" spans="1:7" x14ac:dyDescent="0.25">
      <c r="A20" s="1"/>
      <c r="B20" s="62"/>
      <c r="C20" s="62"/>
      <c r="D20" s="62"/>
      <c r="E20" s="62"/>
      <c r="F20" s="62"/>
      <c r="G20" s="1"/>
    </row>
    <row r="21" spans="1:7" x14ac:dyDescent="0.25">
      <c r="A21" s="1"/>
      <c r="B21" s="168"/>
      <c r="C21" s="168"/>
      <c r="D21" s="168"/>
      <c r="E21" s="168"/>
      <c r="F21" s="168"/>
      <c r="G21" s="1"/>
    </row>
    <row r="22" spans="1:7" x14ac:dyDescent="0.25">
      <c r="A22" s="1"/>
      <c r="B22" s="64"/>
      <c r="C22" s="64"/>
      <c r="D22" s="64"/>
      <c r="E22" s="64"/>
      <c r="F22" s="64"/>
      <c r="G22" s="1"/>
    </row>
    <row r="23" spans="1:7" x14ac:dyDescent="0.25">
      <c r="A23" s="1"/>
      <c r="B23" s="65"/>
      <c r="C23" s="68"/>
      <c r="D23" s="67"/>
      <c r="E23" s="68"/>
      <c r="F23" s="67"/>
      <c r="G23" s="1"/>
    </row>
    <row r="24" spans="1:7" x14ac:dyDescent="0.25">
      <c r="A24" s="1"/>
      <c r="B24" s="69"/>
      <c r="C24" s="70"/>
      <c r="D24" s="71"/>
      <c r="E24" s="70"/>
      <c r="F24" s="71"/>
      <c r="G24" s="1"/>
    </row>
    <row r="25" spans="1:7" x14ac:dyDescent="0.25">
      <c r="A25" s="1"/>
      <c r="B25" s="69"/>
      <c r="C25" s="70"/>
      <c r="D25" s="71"/>
      <c r="E25" s="70"/>
      <c r="F25" s="71"/>
      <c r="G25" s="1"/>
    </row>
    <row r="26" spans="1:7" x14ac:dyDescent="0.25">
      <c r="A26" s="1"/>
      <c r="B26" s="62"/>
      <c r="C26" s="62"/>
      <c r="D26" s="62"/>
      <c r="E26" s="62"/>
      <c r="F26" s="62"/>
      <c r="G26" s="1"/>
    </row>
    <row r="27" spans="1:7" x14ac:dyDescent="0.25">
      <c r="A27" s="1"/>
      <c r="B27" s="168"/>
      <c r="C27" s="168"/>
      <c r="D27" s="168"/>
      <c r="E27" s="168"/>
      <c r="F27" s="168"/>
      <c r="G27" s="1"/>
    </row>
    <row r="28" spans="1:7" x14ac:dyDescent="0.25">
      <c r="A28" s="1"/>
      <c r="B28" s="64"/>
      <c r="C28" s="64"/>
      <c r="D28" s="64"/>
      <c r="E28" s="64"/>
      <c r="F28" s="64"/>
      <c r="G28" s="1"/>
    </row>
    <row r="29" spans="1:7" x14ac:dyDescent="0.25">
      <c r="A29" s="1"/>
      <c r="B29" s="65"/>
      <c r="C29" s="68"/>
      <c r="D29" s="67"/>
      <c r="E29" s="68"/>
      <c r="F29" s="67"/>
      <c r="G29" s="1"/>
    </row>
    <row r="30" spans="1:7" x14ac:dyDescent="0.25">
      <c r="A30" s="1"/>
      <c r="B30" s="69"/>
      <c r="C30" s="70"/>
      <c r="D30" s="71"/>
      <c r="E30" s="70"/>
      <c r="F30" s="71"/>
      <c r="G30" s="1"/>
    </row>
    <row r="31" spans="1:7" x14ac:dyDescent="0.25">
      <c r="A31" s="1"/>
      <c r="B31" s="69"/>
      <c r="C31" s="70"/>
      <c r="D31" s="71"/>
      <c r="E31" s="70"/>
      <c r="F31" s="7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sheetData>
  <sheetProtection algorithmName="SHA-512" hashValue="LmuAKHeZnvutAHQAlUtQHEJZKpLrFVmXze7BEQvvnQ6csc9+mGGo46GuPadD89+Tx1V1oCxH2dVlCyf+PQdIMg==" saltValue="1PdMfeOnjg/7X7Ef7c/sQA==" spinCount="100000" sheet="1" objects="1" scenarios="1"/>
  <mergeCells count="5">
    <mergeCell ref="B27:F27"/>
    <mergeCell ref="B3:F4"/>
    <mergeCell ref="B9:F9"/>
    <mergeCell ref="B15:F15"/>
    <mergeCell ref="B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E48"/>
  <sheetViews>
    <sheetView showGridLines="0" view="pageLayout" zoomScale="85" zoomScaleNormal="100" zoomScalePageLayoutView="85"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24" t="s">
        <v>181</v>
      </c>
      <c r="C3" s="124"/>
      <c r="D3" s="124"/>
      <c r="E3" s="1"/>
    </row>
    <row r="4" spans="1:5" ht="15" customHeight="1" x14ac:dyDescent="0.25">
      <c r="A4" s="1"/>
      <c r="B4" s="124"/>
      <c r="C4" s="124"/>
      <c r="D4" s="12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126</v>
      </c>
      <c r="C9" s="7">
        <f>'Fane 3. Omkostninger i ØR2022'!E20</f>
        <v>49709665.980745323</v>
      </c>
      <c r="D9" s="8" t="s">
        <v>3</v>
      </c>
      <c r="E9" s="1"/>
    </row>
    <row r="10" spans="1:5" ht="17.25" customHeight="1" x14ac:dyDescent="0.25">
      <c r="A10" s="1"/>
      <c r="B10" s="80" t="s">
        <v>39</v>
      </c>
      <c r="C10" s="7">
        <f>'Fane 11.1. Varige tillæg'!C14</f>
        <v>59118.261600000005</v>
      </c>
      <c r="D10" s="8" t="s">
        <v>3</v>
      </c>
      <c r="E10" s="1"/>
    </row>
    <row r="11" spans="1:5" ht="17.25" customHeight="1" x14ac:dyDescent="0.25">
      <c r="A11" s="1"/>
      <c r="B11" s="80" t="s">
        <v>40</v>
      </c>
      <c r="C11" s="9">
        <f>'Fane 11.1. Varige tillæg'!E14</f>
        <v>988433.59800000011</v>
      </c>
      <c r="D11" s="8" t="s">
        <v>3</v>
      </c>
      <c r="E11" s="1"/>
    </row>
    <row r="12" spans="1:5" ht="17.25" customHeight="1" x14ac:dyDescent="0.25">
      <c r="A12" s="1"/>
      <c r="B12" s="80" t="s">
        <v>27</v>
      </c>
      <c r="C12" s="9">
        <f>-'Fane 14. Bortfald'!C13</f>
        <v>0</v>
      </c>
      <c r="D12" s="8" t="s">
        <v>3</v>
      </c>
      <c r="E12" s="1"/>
    </row>
    <row r="13" spans="1:5" ht="17.25" customHeight="1" x14ac:dyDescent="0.25">
      <c r="A13" s="1"/>
      <c r="B13" s="80" t="s">
        <v>26</v>
      </c>
      <c r="C13" s="9">
        <f>-'Fane 14. Bortfald'!E13</f>
        <v>0</v>
      </c>
      <c r="D13" s="8" t="s">
        <v>3</v>
      </c>
      <c r="E13" s="1"/>
    </row>
    <row r="14" spans="1:5" ht="17.25" customHeight="1" x14ac:dyDescent="0.25">
      <c r="A14" s="1"/>
      <c r="B14" s="80" t="s">
        <v>124</v>
      </c>
      <c r="C14" s="9">
        <f>'Fane 13. Tilknyttet virksomhed'!C12</f>
        <v>0</v>
      </c>
      <c r="D14" s="8" t="s">
        <v>3</v>
      </c>
      <c r="E14" s="1"/>
    </row>
    <row r="15" spans="1:5" ht="17.25" customHeight="1" x14ac:dyDescent="0.25">
      <c r="A15" s="1"/>
      <c r="B15" s="80" t="s">
        <v>125</v>
      </c>
      <c r="C15" s="9">
        <f>'Fane 13. Tilknyttet virksomhed'!E12</f>
        <v>0</v>
      </c>
      <c r="D15" s="8" t="s">
        <v>3</v>
      </c>
      <c r="E15" s="1"/>
    </row>
    <row r="16" spans="1:5" ht="17.25" customHeight="1" x14ac:dyDescent="0.25">
      <c r="A16" s="1"/>
      <c r="B16" s="80" t="s">
        <v>19</v>
      </c>
      <c r="C16" s="45">
        <f>SUM(C9)*'Fane 15. Nøgletal'!C14+SUM(C10:C15)*'Fane 15. Nøgletal'!C15</f>
        <v>201334.74393821956</v>
      </c>
      <c r="D16" s="8" t="s">
        <v>3</v>
      </c>
      <c r="E16" s="1"/>
    </row>
    <row r="17" spans="1:5" ht="17.25" customHeight="1" x14ac:dyDescent="0.25">
      <c r="A17" s="1"/>
      <c r="B17" s="80" t="s">
        <v>10</v>
      </c>
      <c r="C17" s="45">
        <f>-SUM(C9,C10:C16)*'Fane 5. Individuelt eff. krav'!G9</f>
        <v>-231461.63687835904</v>
      </c>
      <c r="D17" s="8" t="s">
        <v>3</v>
      </c>
      <c r="E17" s="1"/>
    </row>
    <row r="18" spans="1:5" ht="17.25" customHeight="1" x14ac:dyDescent="0.25">
      <c r="A18" s="1"/>
      <c r="B18" s="80" t="s">
        <v>24</v>
      </c>
      <c r="C18" s="45">
        <f>-'Fane 4.1. Gen. krav - drift'!G45</f>
        <v>-335834.85605120822</v>
      </c>
      <c r="D18" s="8" t="s">
        <v>3</v>
      </c>
      <c r="E18" s="1"/>
    </row>
    <row r="19" spans="1:5" ht="17.25" customHeight="1" x14ac:dyDescent="0.25">
      <c r="A19" s="1"/>
      <c r="B19" s="80" t="s">
        <v>25</v>
      </c>
      <c r="C19" s="45">
        <f>-'Fane 4.2. Gen. krav - anlæg'!G43</f>
        <v>-522277.49468863121</v>
      </c>
      <c r="D19" s="8" t="s">
        <v>3</v>
      </c>
      <c r="E19" s="51"/>
    </row>
    <row r="20" spans="1:5" ht="17.25" customHeight="1" x14ac:dyDescent="0.25">
      <c r="A20" s="1"/>
      <c r="B20" s="86" t="s">
        <v>21</v>
      </c>
      <c r="C20" s="10">
        <f>SUM(C9:C19)</f>
        <v>49868978.596665353</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omk.'!C15+'Fane 6. Ikke-påvirkelige omk.'!C19+'Fane 6. Ikke-påvirkelige omk.'!C27</f>
        <v>1365996.3140952</v>
      </c>
      <c r="D22" s="11" t="s">
        <v>3</v>
      </c>
      <c r="E22" s="1"/>
    </row>
    <row r="23" spans="1:5" ht="15" customHeight="1" x14ac:dyDescent="0.25">
      <c r="A23" s="1"/>
      <c r="B23" s="33" t="s">
        <v>86</v>
      </c>
      <c r="C23" s="28"/>
      <c r="D23" s="19"/>
      <c r="E23" s="1"/>
    </row>
    <row r="24" spans="1:5" ht="15" customHeight="1" x14ac:dyDescent="0.25">
      <c r="A24" s="1"/>
      <c r="B24" s="86" t="s">
        <v>86</v>
      </c>
      <c r="C24" s="10">
        <f>'Fane 12. Periodevise driftsomk.'!E13</f>
        <v>0</v>
      </c>
      <c r="D24" s="11" t="s">
        <v>3</v>
      </c>
      <c r="E24" s="1"/>
    </row>
    <row r="25" spans="1:5" ht="15" customHeight="1" x14ac:dyDescent="0.25">
      <c r="A25" s="1"/>
      <c r="B25" s="48" t="s">
        <v>85</v>
      </c>
      <c r="C25" s="46"/>
      <c r="D25" s="47"/>
      <c r="E25" s="1"/>
    </row>
    <row r="26" spans="1:5" ht="15" customHeight="1" x14ac:dyDescent="0.25">
      <c r="A26" s="1"/>
      <c r="B26" s="80" t="s">
        <v>232</v>
      </c>
      <c r="C26" s="9">
        <f>'Fane 11.2. Engangstillæg'!C12</f>
        <v>0</v>
      </c>
      <c r="D26" s="8" t="s">
        <v>3</v>
      </c>
      <c r="E26" s="1"/>
    </row>
    <row r="27" spans="1:5" ht="15" customHeight="1" x14ac:dyDescent="0.25">
      <c r="A27" s="1"/>
      <c r="B27" s="80" t="s">
        <v>82</v>
      </c>
      <c r="C27" s="9">
        <f>'Fane 11.2. Engangstillæg'!E12</f>
        <v>0</v>
      </c>
      <c r="D27" s="8" t="s">
        <v>3</v>
      </c>
      <c r="E27" s="1"/>
    </row>
    <row r="28" spans="1:5" ht="15" customHeight="1" x14ac:dyDescent="0.25">
      <c r="A28" s="1"/>
      <c r="B28" s="80" t="s">
        <v>239</v>
      </c>
      <c r="C28" s="9">
        <f>-C26*('Fane 15. Nøgletal'!C31+'Fane 5. Individuelt eff. krav'!G9)</f>
        <v>0</v>
      </c>
      <c r="D28" s="8" t="s">
        <v>3</v>
      </c>
      <c r="E28" s="1"/>
    </row>
    <row r="29" spans="1:5" ht="15" customHeight="1" x14ac:dyDescent="0.25">
      <c r="A29" s="1"/>
      <c r="B29" s="80" t="s">
        <v>240</v>
      </c>
      <c r="C29" s="9">
        <f>-C27*('Fane 15. Nøgletal'!C26+'Fane 5. Individuelt eff. krav'!G9)</f>
        <v>0</v>
      </c>
      <c r="D29" s="8" t="s">
        <v>3</v>
      </c>
      <c r="E29" s="1"/>
    </row>
    <row r="30" spans="1:5" ht="15" customHeight="1" x14ac:dyDescent="0.25">
      <c r="A30" s="1"/>
      <c r="B30" s="93" t="s">
        <v>87</v>
      </c>
      <c r="C30" s="10">
        <f>SUM(C26:C29)</f>
        <v>0</v>
      </c>
      <c r="D30" s="11" t="s">
        <v>3</v>
      </c>
      <c r="E30" s="1"/>
    </row>
    <row r="31" spans="1:5" x14ac:dyDescent="0.25">
      <c r="A31" s="1"/>
      <c r="B31" s="33" t="s">
        <v>143</v>
      </c>
      <c r="C31" s="28"/>
      <c r="D31" s="19"/>
      <c r="E31" s="1"/>
    </row>
    <row r="32" spans="1:5" x14ac:dyDescent="0.25">
      <c r="A32" s="1"/>
      <c r="B32" s="31" t="s">
        <v>180</v>
      </c>
      <c r="C32" s="10">
        <f>'Fane 7. Kontrol af ØR2021'!E28</f>
        <v>0</v>
      </c>
      <c r="D32" s="11" t="s">
        <v>3</v>
      </c>
      <c r="E32" s="1"/>
    </row>
    <row r="33" spans="1:5" ht="15" customHeight="1" x14ac:dyDescent="0.25">
      <c r="A33" s="1"/>
      <c r="B33" s="33" t="s">
        <v>185</v>
      </c>
      <c r="C33" s="28"/>
      <c r="D33" s="19"/>
      <c r="E33" s="1"/>
    </row>
    <row r="34" spans="1:5" x14ac:dyDescent="0.25">
      <c r="A34" s="1"/>
      <c r="B34" s="31" t="s">
        <v>185</v>
      </c>
      <c r="C34" s="10">
        <f>'Fane 9. Korrektion af ØR2021'!E17</f>
        <v>0</v>
      </c>
      <c r="D34" s="11" t="s">
        <v>3</v>
      </c>
      <c r="E34" s="1"/>
    </row>
    <row r="35" spans="1:5" x14ac:dyDescent="0.25">
      <c r="A35" s="1"/>
      <c r="B35" s="30" t="s">
        <v>175</v>
      </c>
      <c r="C35" s="28"/>
      <c r="D35" s="19"/>
      <c r="E35" s="1"/>
    </row>
    <row r="36" spans="1:5" x14ac:dyDescent="0.25">
      <c r="A36" s="1"/>
      <c r="B36" s="93" t="s">
        <v>176</v>
      </c>
      <c r="C36" s="10">
        <f>'Fane 8. Skattesagen'!G12</f>
        <v>0</v>
      </c>
      <c r="D36" s="11" t="s">
        <v>3</v>
      </c>
      <c r="E36" s="1"/>
    </row>
    <row r="37" spans="1:5" x14ac:dyDescent="0.25">
      <c r="A37" s="1"/>
      <c r="B37" s="33" t="s">
        <v>90</v>
      </c>
      <c r="C37" s="60">
        <f>SUM(C34,C32,C24,C30,C22,C20,C36)</f>
        <v>51234974.910760552</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bXYbeXC92BQNtjM27FgNmrEgwc2n2CEWztzuWahGbLp2jMwcHziVkyAz0LeNOJULscJ1Kxw3mmNDHPRU7STb6w==" saltValue="QUy5HW+hFiZ6g6sMo9oGv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D53"/>
  <sheetViews>
    <sheetView showGridLines="0" view="pageLayout" zoomScaleNormal="100" workbookViewId="0"/>
  </sheetViews>
  <sheetFormatPr defaultColWidth="9.140625" defaultRowHeight="15" x14ac:dyDescent="0.25"/>
  <cols>
    <col min="1" max="1" width="11.140625" style="2" customWidth="1"/>
    <col min="2" max="2" width="55.4257812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129" t="s">
        <v>262</v>
      </c>
      <c r="C3" s="129"/>
      <c r="D3" s="1"/>
    </row>
    <row r="4" spans="1:4" ht="25.5" customHeight="1" x14ac:dyDescent="0.25">
      <c r="A4" s="1"/>
      <c r="B4" s="129"/>
      <c r="C4" s="129"/>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92" t="s">
        <v>112</v>
      </c>
      <c r="C9" s="25">
        <v>1.2699999999999999E-2</v>
      </c>
      <c r="D9" s="1"/>
    </row>
    <row r="10" spans="1:4" x14ac:dyDescent="0.25">
      <c r="A10" s="1"/>
      <c r="B10" s="92" t="s">
        <v>113</v>
      </c>
      <c r="C10" s="25">
        <v>1.7500000000000002E-2</v>
      </c>
      <c r="D10" s="1"/>
    </row>
    <row r="11" spans="1:4" x14ac:dyDescent="0.25">
      <c r="A11" s="1"/>
      <c r="B11" s="92" t="s">
        <v>23</v>
      </c>
      <c r="C11" s="25">
        <v>1.6899999999999998E-2</v>
      </c>
      <c r="D11" s="1"/>
    </row>
    <row r="12" spans="1:4" x14ac:dyDescent="0.25">
      <c r="A12" s="1"/>
      <c r="B12" s="34" t="s">
        <v>172</v>
      </c>
      <c r="C12" s="35">
        <v>1.9699999999999999E-2</v>
      </c>
      <c r="D12" s="1"/>
    </row>
    <row r="13" spans="1:4" x14ac:dyDescent="0.25">
      <c r="A13" s="1"/>
      <c r="B13" s="34" t="s">
        <v>135</v>
      </c>
      <c r="C13" s="35">
        <v>1.2200000000000001E-2</v>
      </c>
      <c r="D13" s="1"/>
    </row>
    <row r="14" spans="1:4" x14ac:dyDescent="0.25">
      <c r="A14" s="1"/>
      <c r="B14" s="92" t="s">
        <v>171</v>
      </c>
      <c r="C14" s="43">
        <v>3.3E-3</v>
      </c>
      <c r="D14" s="1"/>
    </row>
    <row r="15" spans="1:4" x14ac:dyDescent="0.25">
      <c r="A15" s="1"/>
      <c r="B15" s="34" t="s">
        <v>224</v>
      </c>
      <c r="C15" s="74">
        <v>3.56E-2</v>
      </c>
      <c r="D15" s="1"/>
    </row>
    <row r="16" spans="1:4" x14ac:dyDescent="0.25">
      <c r="A16" s="1"/>
      <c r="B16" s="33"/>
      <c r="C16" s="19"/>
      <c r="D16" s="1"/>
    </row>
    <row r="17" spans="1:4" x14ac:dyDescent="0.25">
      <c r="A17" s="1"/>
      <c r="B17" s="1"/>
      <c r="C17" s="1"/>
      <c r="D17" s="1"/>
    </row>
    <row r="18" spans="1:4" x14ac:dyDescent="0.25">
      <c r="A18" s="1"/>
      <c r="B18" s="1"/>
      <c r="C18" s="1"/>
      <c r="D18" s="1"/>
    </row>
    <row r="19" spans="1:4" x14ac:dyDescent="0.25">
      <c r="A19" s="1"/>
      <c r="B19" s="33" t="s">
        <v>103</v>
      </c>
      <c r="C19" s="19"/>
      <c r="D19" s="1"/>
    </row>
    <row r="20" spans="1:4" x14ac:dyDescent="0.25">
      <c r="A20" s="1"/>
      <c r="B20" s="92" t="s">
        <v>114</v>
      </c>
      <c r="C20" s="22">
        <v>9.1000000000000004E-3</v>
      </c>
      <c r="D20" s="1"/>
    </row>
    <row r="21" spans="1:4" x14ac:dyDescent="0.25">
      <c r="A21" s="1"/>
      <c r="B21" s="92" t="s">
        <v>145</v>
      </c>
      <c r="C21" s="22">
        <v>1.77E-2</v>
      </c>
      <c r="D21" s="1"/>
    </row>
    <row r="22" spans="1:4" x14ac:dyDescent="0.25">
      <c r="A22" s="1"/>
      <c r="B22" s="92" t="s">
        <v>146</v>
      </c>
      <c r="C22" s="22">
        <v>8.6999999999999994E-3</v>
      </c>
      <c r="D22" s="1"/>
    </row>
    <row r="23" spans="1:4" x14ac:dyDescent="0.25">
      <c r="A23" s="1"/>
      <c r="B23" s="92" t="s">
        <v>115</v>
      </c>
      <c r="C23" s="36">
        <v>2.8400000000000002E-2</v>
      </c>
      <c r="D23" s="1"/>
    </row>
    <row r="24" spans="1:4" x14ac:dyDescent="0.25">
      <c r="A24" s="1"/>
      <c r="B24" s="92" t="s">
        <v>147</v>
      </c>
      <c r="C24" s="36">
        <v>2.75E-2</v>
      </c>
      <c r="D24" s="1"/>
    </row>
    <row r="25" spans="1:4" x14ac:dyDescent="0.25">
      <c r="A25" s="1"/>
      <c r="B25" s="92" t="s">
        <v>148</v>
      </c>
      <c r="C25" s="36">
        <v>1.4800000000000001E-2</v>
      </c>
      <c r="D25" s="1"/>
    </row>
    <row r="26" spans="1:4" x14ac:dyDescent="0.25">
      <c r="A26" s="1"/>
      <c r="B26" s="34" t="s">
        <v>216</v>
      </c>
      <c r="C26" s="75">
        <v>0</v>
      </c>
      <c r="D26" s="1"/>
    </row>
    <row r="27" spans="1:4" x14ac:dyDescent="0.25">
      <c r="A27" s="1"/>
      <c r="B27" s="33"/>
      <c r="C27" s="19"/>
      <c r="D27" s="1"/>
    </row>
    <row r="28" spans="1:4" x14ac:dyDescent="0.25">
      <c r="A28" s="1"/>
      <c r="B28" s="1"/>
      <c r="C28" s="1"/>
      <c r="D28" s="1"/>
    </row>
    <row r="29" spans="1:4" x14ac:dyDescent="0.25">
      <c r="A29" s="1"/>
      <c r="B29" s="1"/>
      <c r="C29" s="1"/>
      <c r="D29" s="1"/>
    </row>
    <row r="30" spans="1:4" x14ac:dyDescent="0.25">
      <c r="A30" s="1"/>
      <c r="B30" s="33" t="s">
        <v>104</v>
      </c>
      <c r="C30" s="19"/>
      <c r="D30" s="1"/>
    </row>
    <row r="31" spans="1:4" x14ac:dyDescent="0.25">
      <c r="A31" s="1"/>
      <c r="B31" s="92" t="s">
        <v>116</v>
      </c>
      <c r="C31" s="25">
        <v>0.02</v>
      </c>
      <c r="D31" s="1"/>
    </row>
    <row r="32" spans="1:4" x14ac:dyDescent="0.25">
      <c r="A32" s="1"/>
      <c r="B32" s="33"/>
      <c r="C32" s="19"/>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52"/>
      <c r="B50" s="52"/>
      <c r="C50" s="52"/>
      <c r="D50" s="52"/>
    </row>
    <row r="51" spans="1:4" x14ac:dyDescent="0.25">
      <c r="A51" s="52"/>
      <c r="B51" s="52"/>
      <c r="C51" s="52"/>
      <c r="D51" s="52"/>
    </row>
    <row r="52" spans="1:4" x14ac:dyDescent="0.25">
      <c r="A52" s="52"/>
      <c r="B52" s="52"/>
      <c r="C52" s="52"/>
      <c r="D52" s="52"/>
    </row>
    <row r="53" spans="1:4" x14ac:dyDescent="0.25">
      <c r="A53" s="52"/>
      <c r="B53" s="52"/>
      <c r="C53" s="52"/>
      <c r="D53" s="52"/>
    </row>
  </sheetData>
  <sheetProtection algorithmName="SHA-512" hashValue="whQC0WAaj9Gdizpu5T7xh+mdYbmHUri2LbYGWWUK2/GGEPE5f+UvslANLCz5eBQLwuEGbwFjR06E7bPnTVmd2g==" saltValue="26SjEkh7/IiymqamL8xbe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E45"/>
  <sheetViews>
    <sheetView showGridLines="0" view="pageLayout" zoomScale="90" zoomScaleNormal="100" zoomScalePageLayoutView="90" workbookViewId="0"/>
  </sheetViews>
  <sheetFormatPr defaultColWidth="9.140625" defaultRowHeight="15" x14ac:dyDescent="0.25"/>
  <cols>
    <col min="1" max="1" width="5.140625" style="2" customWidth="1"/>
    <col min="2" max="2" width="49.42578125" style="2" customWidth="1"/>
    <col min="3" max="3" width="15.7109375" style="2" customWidth="1"/>
    <col min="4" max="4" width="3.28515625" style="2" customWidth="1"/>
    <col min="5" max="5" width="10"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24" t="s">
        <v>186</v>
      </c>
      <c r="C3" s="124"/>
      <c r="D3" s="124"/>
      <c r="E3" s="1"/>
    </row>
    <row r="4" spans="1:5" ht="15" customHeight="1" x14ac:dyDescent="0.25">
      <c r="A4" s="1"/>
      <c r="B4" s="124"/>
      <c r="C4" s="124"/>
      <c r="D4" s="124"/>
      <c r="E4" s="1"/>
    </row>
    <row r="5" spans="1:5" x14ac:dyDescent="0.25">
      <c r="A5" s="1"/>
      <c r="B5" s="125" t="s">
        <v>22</v>
      </c>
      <c r="C5" s="125"/>
      <c r="D5" s="12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127</v>
      </c>
      <c r="C9" s="7">
        <f>'Fane 2.1. Økonomisk ramme 2023'!C20</f>
        <v>49868978.596665353</v>
      </c>
      <c r="D9" s="8" t="s">
        <v>3</v>
      </c>
      <c r="E9" s="1"/>
    </row>
    <row r="10" spans="1:5" ht="15" customHeight="1" x14ac:dyDescent="0.25">
      <c r="A10" s="1"/>
      <c r="B10" s="26" t="s">
        <v>19</v>
      </c>
      <c r="C10" s="7">
        <f>SUM(C9:C9)*'Fane 15. Nøgletal'!C15</f>
        <v>1775335.6380412865</v>
      </c>
      <c r="D10" s="8" t="s">
        <v>3</v>
      </c>
      <c r="E10" s="1"/>
    </row>
    <row r="11" spans="1:5" ht="15" customHeight="1" x14ac:dyDescent="0.25">
      <c r="A11" s="1"/>
      <c r="B11" s="26" t="s">
        <v>10</v>
      </c>
      <c r="C11" s="9">
        <f>-SUM(C9:C10)*'Fane 5. Individuelt eff. krav'!G9</f>
        <v>-234576.47248623479</v>
      </c>
      <c r="D11" s="8" t="s">
        <v>3</v>
      </c>
      <c r="E11" s="1"/>
    </row>
    <row r="12" spans="1:5" ht="15" customHeight="1" x14ac:dyDescent="0.25">
      <c r="A12" s="1"/>
      <c r="B12" s="26" t="s">
        <v>24</v>
      </c>
      <c r="C12" s="9">
        <f>-'Fane 4.1. Gen. krav - drift'!G53</f>
        <v>-340834.76538809866</v>
      </c>
      <c r="D12" s="8" t="s">
        <v>3</v>
      </c>
      <c r="E12" s="1"/>
    </row>
    <row r="13" spans="1:5" ht="15" customHeight="1" x14ac:dyDescent="0.25">
      <c r="A13" s="1"/>
      <c r="B13" s="26" t="s">
        <v>25</v>
      </c>
      <c r="C13" s="9">
        <f>-'Fane 4.2. Gen. krav - anlæg'!G54</f>
        <v>0</v>
      </c>
      <c r="D13" s="8" t="s">
        <v>3</v>
      </c>
      <c r="E13" s="1"/>
    </row>
    <row r="14" spans="1:5" ht="15" customHeight="1" x14ac:dyDescent="0.25">
      <c r="A14" s="1"/>
      <c r="B14" s="27" t="s">
        <v>21</v>
      </c>
      <c r="C14" s="10">
        <f>SUM(C9:C13)</f>
        <v>51068902.996832304</v>
      </c>
      <c r="D14" s="11" t="s">
        <v>3</v>
      </c>
      <c r="E14" s="1"/>
    </row>
    <row r="15" spans="1:5" x14ac:dyDescent="0.25">
      <c r="A15" s="1"/>
      <c r="B15" s="33" t="s">
        <v>12</v>
      </c>
      <c r="C15" s="28"/>
      <c r="D15" s="19"/>
      <c r="E15" s="1"/>
    </row>
    <row r="16" spans="1:5" ht="15" customHeight="1" x14ac:dyDescent="0.25">
      <c r="A16" s="1"/>
      <c r="B16" s="31" t="s">
        <v>12</v>
      </c>
      <c r="C16" s="10">
        <f>'Fane 6. Ikke-påvirkelige omk.'!C15*(1+'Fane 15. Nøgletal'!C15)+'Fane 6. Ikke-påvirkelige omk.'!C26+'Fane 6. Ikke-påvirkelige omk.'!C34</f>
        <v>1414625.7828769893</v>
      </c>
      <c r="D16" s="11" t="s">
        <v>3</v>
      </c>
      <c r="E16" s="1"/>
    </row>
    <row r="17" spans="1:5" ht="15" customHeight="1" x14ac:dyDescent="0.25">
      <c r="A17" s="1"/>
      <c r="B17" s="33" t="s">
        <v>86</v>
      </c>
      <c r="C17" s="28"/>
      <c r="D17" s="19"/>
      <c r="E17" s="1"/>
    </row>
    <row r="18" spans="1:5" ht="15" customHeight="1" x14ac:dyDescent="0.25">
      <c r="A18" s="1"/>
      <c r="B18" s="86" t="s">
        <v>86</v>
      </c>
      <c r="C18" s="10">
        <f>'Fane 12. Periodevise driftsomk.'!E19</f>
        <v>0</v>
      </c>
      <c r="D18" s="11" t="s">
        <v>3</v>
      </c>
      <c r="E18" s="1"/>
    </row>
    <row r="19" spans="1:5" x14ac:dyDescent="0.25">
      <c r="A19" s="1"/>
      <c r="B19" s="33" t="s">
        <v>143</v>
      </c>
      <c r="C19" s="28"/>
      <c r="D19" s="19"/>
      <c r="E19" s="1"/>
    </row>
    <row r="20" spans="1:5" ht="15" customHeight="1" x14ac:dyDescent="0.25">
      <c r="A20" s="1"/>
      <c r="B20" s="31" t="s">
        <v>180</v>
      </c>
      <c r="C20" s="10">
        <f>'Fane 7. Kontrol af ØR2021'!E34</f>
        <v>0</v>
      </c>
      <c r="D20" s="11" t="s">
        <v>3</v>
      </c>
      <c r="E20" s="1"/>
    </row>
    <row r="21" spans="1:5" x14ac:dyDescent="0.25">
      <c r="A21" s="1"/>
      <c r="B21" s="30" t="s">
        <v>175</v>
      </c>
      <c r="C21" s="28"/>
      <c r="D21" s="19"/>
      <c r="E21" s="1"/>
    </row>
    <row r="22" spans="1:5" x14ac:dyDescent="0.25">
      <c r="A22" s="1"/>
      <c r="B22" s="93" t="s">
        <v>176</v>
      </c>
      <c r="C22" s="10">
        <f>'Fane 8. Skattesagen'!G13</f>
        <v>0</v>
      </c>
      <c r="D22" s="11" t="s">
        <v>3</v>
      </c>
      <c r="E22" s="1"/>
    </row>
    <row r="23" spans="1:5" x14ac:dyDescent="0.25">
      <c r="A23" s="1"/>
      <c r="B23" s="33" t="s">
        <v>128</v>
      </c>
      <c r="C23" s="12">
        <f>SUM(C14,C16,C18,C20,C22)</f>
        <v>52483528.779709294</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RtaQxGcBJZcRBDwvD4ZQwa9rbTVW4KlCKo9mqIAWgti88qPAmTXCMed/E7BEG8avw2x7/IiAxY3w8q1rgk1vsw==" saltValue="9oVKvMVaKLysD6usGg6FMQ=="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E45"/>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3" width="16.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24" t="s">
        <v>187</v>
      </c>
      <c r="C3" s="124"/>
      <c r="D3" s="124"/>
      <c r="E3" s="1"/>
    </row>
    <row r="4" spans="1:5" ht="15" customHeight="1" x14ac:dyDescent="0.25">
      <c r="A4" s="1"/>
      <c r="B4" s="124"/>
      <c r="C4" s="124"/>
      <c r="D4" s="124"/>
      <c r="E4" s="1"/>
    </row>
    <row r="5" spans="1:5" x14ac:dyDescent="0.25">
      <c r="A5" s="1"/>
      <c r="B5" s="125" t="s">
        <v>22</v>
      </c>
      <c r="C5" s="125"/>
      <c r="D5" s="125"/>
      <c r="E5" s="1"/>
    </row>
    <row r="6" spans="1:5" x14ac:dyDescent="0.25">
      <c r="A6" s="1"/>
      <c r="B6" s="79"/>
      <c r="C6" s="79"/>
      <c r="D6" s="79"/>
      <c r="E6" s="1"/>
    </row>
    <row r="7" spans="1:5" x14ac:dyDescent="0.25">
      <c r="A7" s="1"/>
      <c r="B7" s="1"/>
      <c r="C7" s="1"/>
      <c r="D7" s="1"/>
      <c r="E7" s="1"/>
    </row>
    <row r="8" spans="1:5" x14ac:dyDescent="0.25">
      <c r="A8" s="1"/>
      <c r="B8" s="33" t="s">
        <v>13</v>
      </c>
      <c r="C8" s="28"/>
      <c r="D8" s="19"/>
      <c r="E8" s="1"/>
    </row>
    <row r="9" spans="1:5" ht="15" customHeight="1" x14ac:dyDescent="0.25">
      <c r="A9" s="1"/>
      <c r="B9" s="29" t="s">
        <v>234</v>
      </c>
      <c r="C9" s="7">
        <f>'Fane 2.2. Økonomisk ramme 2024'!C14</f>
        <v>51068902.996832304</v>
      </c>
      <c r="D9" s="8" t="s">
        <v>3</v>
      </c>
      <c r="E9" s="1"/>
    </row>
    <row r="10" spans="1:5" ht="15" customHeight="1" x14ac:dyDescent="0.25">
      <c r="A10" s="1"/>
      <c r="B10" s="26" t="s">
        <v>19</v>
      </c>
      <c r="C10" s="7">
        <f>SUM(C9:C9)*'Fane 15. Nøgletal'!C15</f>
        <v>1818052.9466872299</v>
      </c>
      <c r="D10" s="8" t="s">
        <v>3</v>
      </c>
      <c r="E10" s="1"/>
    </row>
    <row r="11" spans="1:5" ht="15" customHeight="1" x14ac:dyDescent="0.25">
      <c r="A11" s="1"/>
      <c r="B11" s="26" t="s">
        <v>10</v>
      </c>
      <c r="C11" s="9">
        <f>-SUM(C9:C10)*'Fane 5. Individuelt eff. krav'!G9</f>
        <v>-240220.74355338165</v>
      </c>
      <c r="D11" s="8" t="s">
        <v>3</v>
      </c>
      <c r="E11" s="1"/>
    </row>
    <row r="12" spans="1:5" ht="15" customHeight="1" x14ac:dyDescent="0.25">
      <c r="A12" s="1"/>
      <c r="B12" s="26" t="s">
        <v>24</v>
      </c>
      <c r="C12" s="9">
        <f>-'Fane 4.1. Gen. krav - drift'!G58</f>
        <v>-345909.1133751967</v>
      </c>
      <c r="D12" s="8" t="s">
        <v>3</v>
      </c>
      <c r="E12" s="1"/>
    </row>
    <row r="13" spans="1:5" ht="15" customHeight="1" x14ac:dyDescent="0.25">
      <c r="A13" s="1"/>
      <c r="B13" s="26" t="s">
        <v>25</v>
      </c>
      <c r="C13" s="9">
        <f>-'Fane 4.2. Gen. krav - anlæg'!G59</f>
        <v>0</v>
      </c>
      <c r="D13" s="8" t="s">
        <v>3</v>
      </c>
      <c r="E13" s="1"/>
    </row>
    <row r="14" spans="1:5" x14ac:dyDescent="0.25">
      <c r="A14" s="1"/>
      <c r="B14" s="27" t="s">
        <v>21</v>
      </c>
      <c r="C14" s="10">
        <f>SUM(C9:C13)</f>
        <v>52300826.086590953</v>
      </c>
      <c r="D14" s="11" t="s">
        <v>3</v>
      </c>
      <c r="E14" s="1"/>
    </row>
    <row r="15" spans="1:5" x14ac:dyDescent="0.25">
      <c r="A15" s="1"/>
      <c r="B15" s="33" t="s">
        <v>12</v>
      </c>
      <c r="C15" s="28"/>
      <c r="D15" s="19"/>
      <c r="E15" s="1"/>
    </row>
    <row r="16" spans="1:5" ht="15" customHeight="1" x14ac:dyDescent="0.25">
      <c r="A16" s="1"/>
      <c r="B16" s="31" t="s">
        <v>12</v>
      </c>
      <c r="C16" s="10">
        <f>'Fane 6. Ikke-påvirkelige omk.'!C15*(1+'Fane 15. Nøgletal'!C15)^2+'Fane 6. Ikke-påvirkelige omk.'!C21+'Fane 6. Ikke-påvirkelige omk.'!C29</f>
        <v>1464986.4607474101</v>
      </c>
      <c r="D16" s="11" t="s">
        <v>3</v>
      </c>
      <c r="E16" s="1"/>
    </row>
    <row r="17" spans="1:5" ht="15" customHeight="1" x14ac:dyDescent="0.25">
      <c r="A17" s="1"/>
      <c r="B17" s="33" t="s">
        <v>86</v>
      </c>
      <c r="C17" s="28"/>
      <c r="D17" s="19"/>
      <c r="E17" s="1"/>
    </row>
    <row r="18" spans="1:5" ht="15" customHeight="1" x14ac:dyDescent="0.25">
      <c r="A18" s="1"/>
      <c r="B18" s="86" t="s">
        <v>86</v>
      </c>
      <c r="C18" s="10">
        <f>'Fane 12. Periodevise driftsomk.'!E25</f>
        <v>0</v>
      </c>
      <c r="D18" s="11" t="s">
        <v>3</v>
      </c>
      <c r="E18" s="1"/>
    </row>
    <row r="19" spans="1:5" ht="15" customHeight="1" x14ac:dyDescent="0.25">
      <c r="A19" s="1"/>
      <c r="B19" s="33" t="s">
        <v>143</v>
      </c>
      <c r="C19" s="28"/>
      <c r="D19" s="19"/>
      <c r="E19" s="1"/>
    </row>
    <row r="20" spans="1:5" ht="15" customHeight="1" x14ac:dyDescent="0.25">
      <c r="A20" s="1"/>
      <c r="B20" s="31" t="s">
        <v>180</v>
      </c>
      <c r="C20" s="10">
        <f>'Fane 7. Kontrol af ØR2021'!E34</f>
        <v>0</v>
      </c>
      <c r="D20" s="11" t="s">
        <v>3</v>
      </c>
      <c r="E20" s="1"/>
    </row>
    <row r="21" spans="1:5" x14ac:dyDescent="0.25">
      <c r="A21" s="1"/>
      <c r="B21" s="30" t="s">
        <v>175</v>
      </c>
      <c r="C21" s="28"/>
      <c r="D21" s="19"/>
      <c r="E21" s="1"/>
    </row>
    <row r="22" spans="1:5" x14ac:dyDescent="0.25">
      <c r="A22" s="1"/>
      <c r="B22" s="93" t="s">
        <v>176</v>
      </c>
      <c r="C22" s="10">
        <f>'Fane 8. Skattesagen'!G14</f>
        <v>0</v>
      </c>
      <c r="D22" s="11" t="s">
        <v>3</v>
      </c>
      <c r="E22" s="1"/>
    </row>
    <row r="23" spans="1:5" x14ac:dyDescent="0.25">
      <c r="A23" s="1"/>
      <c r="B23" s="33" t="s">
        <v>149</v>
      </c>
      <c r="C23" s="12">
        <f>SUM(C14,C16,C18,C20,C22)</f>
        <v>53765812.547338367</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LOZpuwyutI8MzovAfzwHGkVqvU6GUorwq3IZ72C7RKsh4swxkB8q6Y8qo5NSoL4GfW6HjqTdw4PBdl2iTkjGrg==" saltValue="yeVcz21S/hocEwgCOqNxHg=="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E47"/>
  <sheetViews>
    <sheetView showGridLines="0" view="pageLayout" zoomScale="99" zoomScaleNormal="100" zoomScalePageLayoutView="99" workbookViewId="0"/>
  </sheetViews>
  <sheetFormatPr defaultColWidth="9.140625" defaultRowHeight="15" x14ac:dyDescent="0.25"/>
  <cols>
    <col min="1" max="1" width="5.140625" style="2" customWidth="1"/>
    <col min="2" max="2" width="48.85546875" style="2" customWidth="1"/>
    <col min="3" max="3" width="13.710937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24" t="s">
        <v>188</v>
      </c>
      <c r="C3" s="124"/>
      <c r="D3" s="124"/>
      <c r="E3" s="1"/>
    </row>
    <row r="4" spans="1:5" ht="15" customHeight="1" x14ac:dyDescent="0.25">
      <c r="A4" s="1"/>
      <c r="B4" s="124"/>
      <c r="C4" s="124"/>
      <c r="D4" s="124"/>
      <c r="E4" s="1"/>
    </row>
    <row r="5" spans="1:5" x14ac:dyDescent="0.25">
      <c r="A5" s="1"/>
      <c r="B5" s="125" t="s">
        <v>22</v>
      </c>
      <c r="C5" s="125"/>
      <c r="D5" s="125"/>
      <c r="E5" s="1"/>
    </row>
    <row r="6" spans="1:5" x14ac:dyDescent="0.25">
      <c r="A6" s="1"/>
      <c r="B6" s="79"/>
      <c r="C6" s="79"/>
      <c r="D6" s="79"/>
      <c r="E6" s="1"/>
    </row>
    <row r="7" spans="1:5" x14ac:dyDescent="0.25">
      <c r="A7" s="1"/>
      <c r="B7" s="1"/>
      <c r="C7" s="1"/>
      <c r="D7" s="1"/>
      <c r="E7" s="1"/>
    </row>
    <row r="8" spans="1:5" x14ac:dyDescent="0.25">
      <c r="A8" s="1"/>
      <c r="B8" s="33" t="s">
        <v>13</v>
      </c>
      <c r="C8" s="28"/>
      <c r="D8" s="19"/>
      <c r="E8" s="1"/>
    </row>
    <row r="9" spans="1:5" ht="15" customHeight="1" x14ac:dyDescent="0.25">
      <c r="A9" s="1"/>
      <c r="B9" s="29" t="s">
        <v>189</v>
      </c>
      <c r="C9" s="7">
        <f>'Fane 2.3. Økonomisk ramme 2025'!C14</f>
        <v>52300826.086590953</v>
      </c>
      <c r="D9" s="8" t="s">
        <v>3</v>
      </c>
      <c r="E9" s="1"/>
    </row>
    <row r="10" spans="1:5" ht="15" customHeight="1" x14ac:dyDescent="0.25">
      <c r="A10" s="1"/>
      <c r="B10" s="26" t="s">
        <v>19</v>
      </c>
      <c r="C10" s="7">
        <f>SUM(C9:C9)*'Fane 15. Nøgletal'!C15</f>
        <v>1861909.4086826378</v>
      </c>
      <c r="D10" s="8" t="s">
        <v>3</v>
      </c>
      <c r="E10" s="1"/>
    </row>
    <row r="11" spans="1:5" ht="15" customHeight="1" x14ac:dyDescent="0.25">
      <c r="A11" s="1"/>
      <c r="B11" s="26" t="s">
        <v>10</v>
      </c>
      <c r="C11" s="9">
        <f>-SUM(C9:C10)*'Fane 5. Individuelt eff. krav'!G9</f>
        <v>-246015.53183463291</v>
      </c>
      <c r="D11" s="8" t="s">
        <v>3</v>
      </c>
      <c r="E11" s="1"/>
    </row>
    <row r="12" spans="1:5" ht="15" customHeight="1" x14ac:dyDescent="0.25">
      <c r="A12" s="1"/>
      <c r="B12" s="26" t="s">
        <v>24</v>
      </c>
      <c r="C12" s="9">
        <f>-'Fane 4.1. Gen. krav - drift'!G63</f>
        <v>-351059.00825512665</v>
      </c>
      <c r="D12" s="8" t="s">
        <v>3</v>
      </c>
      <c r="E12" s="1"/>
    </row>
    <row r="13" spans="1:5" ht="15" customHeight="1" x14ac:dyDescent="0.25">
      <c r="A13" s="1"/>
      <c r="B13" s="26" t="s">
        <v>25</v>
      </c>
      <c r="C13" s="9">
        <f>-'Fane 4.2. Gen. krav - anlæg'!G64</f>
        <v>0</v>
      </c>
      <c r="D13" s="8" t="s">
        <v>3</v>
      </c>
      <c r="E13" s="1"/>
    </row>
    <row r="14" spans="1:5" ht="14.25" customHeight="1" x14ac:dyDescent="0.25">
      <c r="A14" s="1"/>
      <c r="B14" s="27" t="s">
        <v>21</v>
      </c>
      <c r="C14" s="10">
        <f>SUM(C9:C13)</f>
        <v>53565660.955183834</v>
      </c>
      <c r="D14" s="11" t="s">
        <v>3</v>
      </c>
      <c r="E14" s="1"/>
    </row>
    <row r="15" spans="1:5" x14ac:dyDescent="0.25">
      <c r="A15" s="1"/>
      <c r="B15" s="33" t="s">
        <v>12</v>
      </c>
      <c r="C15" s="28"/>
      <c r="D15" s="19"/>
      <c r="E15" s="1"/>
    </row>
    <row r="16" spans="1:5" ht="15" customHeight="1" x14ac:dyDescent="0.25">
      <c r="A16" s="1"/>
      <c r="B16" s="31" t="s">
        <v>12</v>
      </c>
      <c r="C16" s="10">
        <f>'Fane 6. Ikke-påvirkelige omk.'!C15*(1+'Fane 15. Nøgletal'!C15)^3+'Fane 6. Ikke-påvirkelige omk.'!C22+'Fane 6. Ikke-påvirkelige omk.'!C30</f>
        <v>1517139.9787500179</v>
      </c>
      <c r="D16" s="11" t="s">
        <v>3</v>
      </c>
      <c r="E16" s="1"/>
    </row>
    <row r="17" spans="1:5" ht="15" customHeight="1" x14ac:dyDescent="0.25">
      <c r="A17" s="1"/>
      <c r="B17" s="33" t="s">
        <v>86</v>
      </c>
      <c r="C17" s="28"/>
      <c r="D17" s="19"/>
      <c r="E17" s="1"/>
    </row>
    <row r="18" spans="1:5" ht="15" customHeight="1" x14ac:dyDescent="0.25">
      <c r="A18" s="1"/>
      <c r="B18" s="86" t="s">
        <v>86</v>
      </c>
      <c r="C18" s="10">
        <f>'Fane 12. Periodevise driftsomk.'!E31</f>
        <v>0</v>
      </c>
      <c r="D18" s="11" t="s">
        <v>3</v>
      </c>
      <c r="E18" s="1"/>
    </row>
    <row r="19" spans="1:5" ht="15" customHeight="1" x14ac:dyDescent="0.25">
      <c r="A19" s="1"/>
      <c r="B19" s="33" t="s">
        <v>143</v>
      </c>
      <c r="C19" s="28"/>
      <c r="D19" s="19"/>
      <c r="E19" s="1"/>
    </row>
    <row r="20" spans="1:5" ht="15" customHeight="1" x14ac:dyDescent="0.25">
      <c r="A20" s="1"/>
      <c r="B20" s="31" t="s">
        <v>180</v>
      </c>
      <c r="C20" s="10">
        <f>'Fane 7. Kontrol af ØR2021'!E34</f>
        <v>0</v>
      </c>
      <c r="D20" s="11" t="s">
        <v>3</v>
      </c>
      <c r="E20" s="1"/>
    </row>
    <row r="21" spans="1:5" x14ac:dyDescent="0.25">
      <c r="A21" s="1"/>
      <c r="B21" s="30" t="s">
        <v>175</v>
      </c>
      <c r="C21" s="28"/>
      <c r="D21" s="19"/>
      <c r="E21" s="1"/>
    </row>
    <row r="22" spans="1:5" x14ac:dyDescent="0.25">
      <c r="A22" s="1"/>
      <c r="B22" s="93" t="s">
        <v>176</v>
      </c>
      <c r="C22" s="10">
        <f>'Fane 8. Skattesagen'!G15</f>
        <v>0</v>
      </c>
      <c r="D22" s="11" t="s">
        <v>3</v>
      </c>
      <c r="E22" s="1"/>
    </row>
    <row r="23" spans="1:5" x14ac:dyDescent="0.25">
      <c r="A23" s="1"/>
      <c r="B23" s="33" t="s">
        <v>190</v>
      </c>
      <c r="C23" s="12">
        <f>SUM(C14,C16,C18,C20,C22)</f>
        <v>55082800.933933854</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IOVLhKK9uyqZYNlnvNWWNLmcgD+t25Se6JI+fAiUAd65zlYYkEzcI2ePO4zo/9DCsEFI8uXRlrDCXoxxdSzyLA==" saltValue="bnsBkth6ifAbAAw1mC13yg=="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G52"/>
  <sheetViews>
    <sheetView showGridLines="0" view="pageLayout" zoomScale="99" zoomScaleNormal="100" zoomScalePageLayoutView="99" workbookViewId="0"/>
  </sheetViews>
  <sheetFormatPr defaultColWidth="9.140625" defaultRowHeight="15" x14ac:dyDescent="0.25"/>
  <cols>
    <col min="1" max="1" width="7.85546875" style="2" customWidth="1"/>
    <col min="2" max="2" width="12.28515625" style="2" customWidth="1"/>
    <col min="3" max="3" width="12" style="2" customWidth="1"/>
    <col min="4" max="4" width="26" style="2" customWidth="1"/>
    <col min="5" max="5" width="10.85546875" style="2" customWidth="1"/>
    <col min="6" max="6" width="3.5703125" style="2" bestFit="1" customWidth="1"/>
    <col min="7" max="7" width="7.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9" t="s">
        <v>191</v>
      </c>
      <c r="C3" s="129"/>
      <c r="D3" s="129"/>
      <c r="E3" s="129"/>
      <c r="F3" s="129"/>
      <c r="G3" s="1"/>
    </row>
    <row r="4" spans="1:7" ht="29.25" customHeight="1" x14ac:dyDescent="0.25">
      <c r="A4" s="1"/>
      <c r="B4" s="129"/>
      <c r="C4" s="129"/>
      <c r="D4" s="129"/>
      <c r="E4" s="129"/>
      <c r="F4" s="129"/>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218</v>
      </c>
      <c r="C8" s="28"/>
      <c r="D8" s="28"/>
      <c r="E8" s="28"/>
      <c r="F8" s="19"/>
      <c r="G8" s="1"/>
    </row>
    <row r="9" spans="1:7" ht="15" customHeight="1" x14ac:dyDescent="0.25">
      <c r="A9" s="1"/>
      <c r="B9" s="126" t="s">
        <v>192</v>
      </c>
      <c r="C9" s="127"/>
      <c r="D9" s="128"/>
      <c r="E9" s="7">
        <v>50642026.104068093</v>
      </c>
      <c r="F9" s="8" t="s">
        <v>3</v>
      </c>
      <c r="G9" s="1"/>
    </row>
    <row r="10" spans="1:7" ht="15" customHeight="1" x14ac:dyDescent="0.25">
      <c r="A10" s="1"/>
      <c r="B10" s="130" t="s">
        <v>39</v>
      </c>
      <c r="C10" s="131"/>
      <c r="D10" s="132"/>
      <c r="E10" s="7">
        <v>0</v>
      </c>
      <c r="F10" s="8" t="s">
        <v>3</v>
      </c>
      <c r="G10" s="1"/>
    </row>
    <row r="11" spans="1:7" ht="15" customHeight="1" x14ac:dyDescent="0.25">
      <c r="A11" s="1"/>
      <c r="B11" s="130" t="s">
        <v>40</v>
      </c>
      <c r="C11" s="131"/>
      <c r="D11" s="132"/>
      <c r="E11" s="9">
        <v>0</v>
      </c>
      <c r="F11" s="8" t="s">
        <v>3</v>
      </c>
      <c r="G11" s="1"/>
    </row>
    <row r="12" spans="1:7" ht="15" customHeight="1" x14ac:dyDescent="0.25">
      <c r="A12" s="1"/>
      <c r="B12" s="130" t="s">
        <v>27</v>
      </c>
      <c r="C12" s="131"/>
      <c r="D12" s="132"/>
      <c r="E12" s="9">
        <v>0</v>
      </c>
      <c r="F12" s="8" t="s">
        <v>3</v>
      </c>
      <c r="G12" s="1"/>
    </row>
    <row r="13" spans="1:7" ht="15" customHeight="1" x14ac:dyDescent="0.25">
      <c r="A13" s="1"/>
      <c r="B13" s="126" t="s">
        <v>26</v>
      </c>
      <c r="C13" s="127"/>
      <c r="D13" s="128"/>
      <c r="E13" s="9">
        <v>0</v>
      </c>
      <c r="F13" s="8" t="s">
        <v>3</v>
      </c>
      <c r="G13" s="1"/>
    </row>
    <row r="14" spans="1:7" ht="15" customHeight="1" x14ac:dyDescent="0.25">
      <c r="A14" s="1"/>
      <c r="B14" s="126" t="s">
        <v>29</v>
      </c>
      <c r="C14" s="127"/>
      <c r="D14" s="128"/>
      <c r="E14" s="9">
        <v>0</v>
      </c>
      <c r="F14" s="8" t="s">
        <v>3</v>
      </c>
      <c r="G14" s="1"/>
    </row>
    <row r="15" spans="1:7" ht="15" customHeight="1" x14ac:dyDescent="0.25">
      <c r="A15" s="1"/>
      <c r="B15" s="126" t="s">
        <v>28</v>
      </c>
      <c r="C15" s="127"/>
      <c r="D15" s="128"/>
      <c r="E15" s="9">
        <v>0</v>
      </c>
      <c r="F15" s="8" t="s">
        <v>3</v>
      </c>
      <c r="G15" s="1"/>
    </row>
    <row r="16" spans="1:7" ht="15" customHeight="1" x14ac:dyDescent="0.25">
      <c r="A16" s="1"/>
      <c r="B16" s="126" t="s">
        <v>19</v>
      </c>
      <c r="C16" s="127"/>
      <c r="D16" s="128"/>
      <c r="E16" s="9">
        <f>SUM(E9:E15)*'Fane 15. Nøgletal'!C14</f>
        <v>167118.68614342471</v>
      </c>
      <c r="F16" s="8" t="s">
        <v>3</v>
      </c>
      <c r="G16" s="1"/>
    </row>
    <row r="17" spans="1:7" ht="15" customHeight="1" x14ac:dyDescent="0.25">
      <c r="A17" s="1"/>
      <c r="B17" s="126" t="s">
        <v>10</v>
      </c>
      <c r="C17" s="127"/>
      <c r="D17" s="128"/>
      <c r="E17" s="9">
        <v>-230783.00354156835</v>
      </c>
      <c r="F17" s="8" t="s">
        <v>3</v>
      </c>
      <c r="G17" s="1"/>
    </row>
    <row r="18" spans="1:7" ht="15" customHeight="1" x14ac:dyDescent="0.25">
      <c r="A18" s="1"/>
      <c r="B18" s="126" t="s">
        <v>24</v>
      </c>
      <c r="C18" s="127"/>
      <c r="D18" s="128"/>
      <c r="E18" s="9">
        <f>-'Fane 4.1. Gen. krav - drift'!G39</f>
        <v>-340316.13900348142</v>
      </c>
      <c r="F18" s="8" t="s">
        <v>3</v>
      </c>
      <c r="G18" s="1"/>
    </row>
    <row r="19" spans="1:7" ht="15" customHeight="1" x14ac:dyDescent="0.25">
      <c r="A19" s="1"/>
      <c r="B19" s="126" t="s">
        <v>25</v>
      </c>
      <c r="C19" s="127"/>
      <c r="D19" s="128"/>
      <c r="E19" s="9">
        <f>-'Fane 4.2. Gen. krav - anlæg'!G37</f>
        <v>-528379.66692115681</v>
      </c>
      <c r="F19" s="8" t="s">
        <v>3</v>
      </c>
      <c r="G19" s="1"/>
    </row>
    <row r="20" spans="1:7" ht="15" customHeight="1" x14ac:dyDescent="0.25">
      <c r="A20" s="1"/>
      <c r="B20" s="57" t="s">
        <v>21</v>
      </c>
      <c r="C20" s="99"/>
      <c r="D20" s="101"/>
      <c r="E20" s="54">
        <f>SUM(E9:E19)</f>
        <v>49709665.980745323</v>
      </c>
      <c r="F20" s="56" t="s">
        <v>3</v>
      </c>
      <c r="G20" s="1"/>
    </row>
    <row r="21" spans="1:7" ht="15" customHeight="1" x14ac:dyDescent="0.25">
      <c r="A21" s="1"/>
      <c r="B21" s="33" t="s">
        <v>12</v>
      </c>
      <c r="C21" s="28"/>
      <c r="D21" s="28"/>
      <c r="E21" s="28"/>
      <c r="F21" s="19"/>
      <c r="G21" s="1"/>
    </row>
    <row r="22" spans="1:7" ht="15" customHeight="1" x14ac:dyDescent="0.25">
      <c r="A22" s="1"/>
      <c r="B22" s="133" t="s">
        <v>12</v>
      </c>
      <c r="C22" s="134"/>
      <c r="D22" s="135"/>
      <c r="E22" s="10">
        <v>1132219.8232977602</v>
      </c>
      <c r="F22" s="11" t="s">
        <v>3</v>
      </c>
      <c r="G22" s="1"/>
    </row>
    <row r="23" spans="1:7" ht="15" customHeight="1" x14ac:dyDescent="0.25">
      <c r="A23" s="1"/>
      <c r="B23" s="136" t="s">
        <v>86</v>
      </c>
      <c r="C23" s="137"/>
      <c r="D23" s="138"/>
      <c r="E23" s="28"/>
      <c r="F23" s="19"/>
      <c r="G23" s="1"/>
    </row>
    <row r="24" spans="1:7" ht="15" customHeight="1" x14ac:dyDescent="0.25">
      <c r="A24" s="1"/>
      <c r="B24" s="98" t="s">
        <v>86</v>
      </c>
      <c r="C24" s="38"/>
      <c r="D24" s="39"/>
      <c r="E24" s="10">
        <v>0</v>
      </c>
      <c r="F24" s="11" t="s">
        <v>3</v>
      </c>
      <c r="G24" s="1"/>
    </row>
    <row r="25" spans="1:7" x14ac:dyDescent="0.25">
      <c r="A25" s="1"/>
      <c r="B25" s="33" t="s">
        <v>85</v>
      </c>
      <c r="C25" s="28"/>
      <c r="D25" s="28"/>
      <c r="E25" s="28"/>
      <c r="F25" s="19"/>
      <c r="G25" s="1"/>
    </row>
    <row r="26" spans="1:7" ht="15" customHeight="1" x14ac:dyDescent="0.25">
      <c r="A26" s="1"/>
      <c r="B26" s="130" t="s">
        <v>81</v>
      </c>
      <c r="C26" s="131"/>
      <c r="D26" s="132"/>
      <c r="E26" s="9">
        <v>0</v>
      </c>
      <c r="F26" s="8" t="s">
        <v>3</v>
      </c>
      <c r="G26" s="1"/>
    </row>
    <row r="27" spans="1:7" ht="15" customHeight="1" x14ac:dyDescent="0.25">
      <c r="A27" s="1"/>
      <c r="B27" s="130" t="s">
        <v>82</v>
      </c>
      <c r="C27" s="131"/>
      <c r="D27" s="131"/>
      <c r="E27" s="9">
        <v>0</v>
      </c>
      <c r="F27" s="8" t="s">
        <v>3</v>
      </c>
      <c r="G27" s="1"/>
    </row>
    <row r="28" spans="1:7" ht="15" customHeight="1" x14ac:dyDescent="0.25">
      <c r="A28" s="1"/>
      <c r="B28" s="139" t="s">
        <v>87</v>
      </c>
      <c r="C28" s="140"/>
      <c r="D28" s="140"/>
      <c r="E28" s="40">
        <v>0</v>
      </c>
      <c r="F28" s="11" t="s">
        <v>3</v>
      </c>
      <c r="G28" s="1"/>
    </row>
    <row r="29" spans="1:7" ht="15" customHeight="1" x14ac:dyDescent="0.25">
      <c r="A29" s="1"/>
      <c r="B29" s="33" t="s">
        <v>143</v>
      </c>
      <c r="C29" s="33"/>
      <c r="D29" s="33"/>
      <c r="E29" s="28"/>
      <c r="F29" s="19"/>
      <c r="G29" s="1"/>
    </row>
    <row r="30" spans="1:7" ht="15" customHeight="1" x14ac:dyDescent="0.25">
      <c r="A30" s="1"/>
      <c r="B30" s="133" t="s">
        <v>142</v>
      </c>
      <c r="C30" s="134"/>
      <c r="D30" s="134"/>
      <c r="E30" s="40">
        <v>0</v>
      </c>
      <c r="F30" s="11" t="s">
        <v>3</v>
      </c>
      <c r="G30" s="1"/>
    </row>
    <row r="31" spans="1:7" x14ac:dyDescent="0.25">
      <c r="A31" s="1"/>
      <c r="B31" s="33" t="s">
        <v>123</v>
      </c>
      <c r="C31" s="28"/>
      <c r="D31" s="28"/>
      <c r="E31" s="28"/>
      <c r="F31" s="19"/>
      <c r="G31" s="1"/>
    </row>
    <row r="32" spans="1:7" ht="15.4" customHeight="1" x14ac:dyDescent="0.25">
      <c r="A32" s="1"/>
      <c r="B32" s="133" t="s">
        <v>123</v>
      </c>
      <c r="C32" s="134"/>
      <c r="D32" s="135"/>
      <c r="E32" s="10">
        <v>0</v>
      </c>
      <c r="F32" s="11" t="s">
        <v>3</v>
      </c>
      <c r="G32" s="1"/>
    </row>
    <row r="33" spans="1:7" ht="15.4" customHeight="1" x14ac:dyDescent="0.25">
      <c r="A33" s="1"/>
      <c r="B33" s="136" t="s">
        <v>175</v>
      </c>
      <c r="C33" s="137"/>
      <c r="D33" s="137"/>
      <c r="E33" s="137"/>
      <c r="F33" s="138"/>
      <c r="G33" s="1"/>
    </row>
    <row r="34" spans="1:7" ht="15.4" customHeight="1" x14ac:dyDescent="0.25">
      <c r="A34" s="1"/>
      <c r="B34" s="100" t="s">
        <v>176</v>
      </c>
      <c r="C34" s="10"/>
      <c r="D34" s="11"/>
      <c r="E34" s="10">
        <f>'Fane 8. Skattesagen'!G11</f>
        <v>0</v>
      </c>
      <c r="F34" s="11" t="s">
        <v>3</v>
      </c>
      <c r="G34" s="1"/>
    </row>
    <row r="35" spans="1:7" x14ac:dyDescent="0.25">
      <c r="A35" s="1"/>
      <c r="B35" s="58" t="s">
        <v>219</v>
      </c>
      <c r="C35" s="59"/>
      <c r="D35" s="19"/>
      <c r="E35" s="46">
        <f>SUM(E32,E30,E28,E24,E22,E20,E34)</f>
        <v>50841885.804043084</v>
      </c>
      <c r="F35" s="55" t="s">
        <v>3</v>
      </c>
      <c r="G35" s="1"/>
    </row>
    <row r="36" spans="1:7" ht="27" customHeight="1" x14ac:dyDescent="0.25">
      <c r="A36" s="1"/>
      <c r="B36" s="126" t="s">
        <v>223</v>
      </c>
      <c r="C36" s="127"/>
      <c r="D36" s="127"/>
      <c r="E36" s="127"/>
      <c r="F36" s="128"/>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52"/>
      <c r="B49" s="52"/>
      <c r="C49" s="52"/>
      <c r="D49" s="52"/>
      <c r="E49" s="52"/>
      <c r="F49" s="52"/>
      <c r="G49" s="52"/>
    </row>
    <row r="50" spans="1:7" x14ac:dyDescent="0.25">
      <c r="A50" s="52"/>
      <c r="B50" s="52"/>
      <c r="C50" s="52"/>
      <c r="D50" s="52"/>
      <c r="E50" s="52"/>
      <c r="F50" s="52"/>
      <c r="G50" s="52"/>
    </row>
    <row r="51" spans="1:7" x14ac:dyDescent="0.25">
      <c r="A51" s="52"/>
      <c r="B51" s="52"/>
      <c r="C51" s="52"/>
      <c r="D51" s="52"/>
      <c r="E51" s="52"/>
      <c r="F51" s="52"/>
      <c r="G51" s="52"/>
    </row>
    <row r="52" spans="1:7" x14ac:dyDescent="0.25">
      <c r="A52" s="52"/>
      <c r="B52" s="52"/>
      <c r="C52" s="52"/>
      <c r="D52" s="52"/>
      <c r="E52" s="52"/>
      <c r="F52" s="52"/>
      <c r="G52" s="52"/>
    </row>
  </sheetData>
  <sheetProtection algorithmName="SHA-512" hashValue="98gXN7uWMtMoKT2Dx11+RxOP3I/flxMlB8SuNw6JqNGA8PrC87oYcANFN+pVILV44ILa60axtD7WMMTVT+0CIg==" saltValue="6AFfVwgbV803I/Dd1NcC+w==" spinCount="100000" sheet="1" objects="1" scenarios="1"/>
  <mergeCells count="21">
    <mergeCell ref="B26:D26"/>
    <mergeCell ref="B32:D32"/>
    <mergeCell ref="B22:D22"/>
    <mergeCell ref="B23:D23"/>
    <mergeCell ref="B36:F36"/>
    <mergeCell ref="B27:D27"/>
    <mergeCell ref="B28:D28"/>
    <mergeCell ref="B30:D30"/>
    <mergeCell ref="B33:F33"/>
    <mergeCell ref="B3:F4"/>
    <mergeCell ref="B9:D9"/>
    <mergeCell ref="B10:D10"/>
    <mergeCell ref="B11:D11"/>
    <mergeCell ref="B12:D12"/>
    <mergeCell ref="B18:D18"/>
    <mergeCell ref="B19:D19"/>
    <mergeCell ref="B13:D13"/>
    <mergeCell ref="B14:D14"/>
    <mergeCell ref="B15:D15"/>
    <mergeCell ref="B16:D16"/>
    <mergeCell ref="B17:D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I68"/>
  <sheetViews>
    <sheetView showGridLines="0" view="pageLayout" zoomScale="90" zoomScaleNormal="100" zoomScalePageLayoutView="90" workbookViewId="0"/>
  </sheetViews>
  <sheetFormatPr defaultColWidth="9.140625" defaultRowHeight="15" x14ac:dyDescent="0.25"/>
  <cols>
    <col min="1" max="1" width="2.5703125" style="2" customWidth="1"/>
    <col min="2" max="5" width="9.140625" style="2"/>
    <col min="6" max="6" width="24.5703125" style="2" customWidth="1"/>
    <col min="7" max="7" width="16.28515625" style="2" customWidth="1"/>
    <col min="8" max="8" width="3.42578125" style="2" customWidth="1"/>
    <col min="9" max="9" width="2.5703125" style="2" customWidth="1"/>
    <col min="10" max="16384" width="9.140625" style="2"/>
  </cols>
  <sheetData>
    <row r="1" spans="1:9" ht="15" customHeight="1" x14ac:dyDescent="0.25">
      <c r="A1" s="1"/>
      <c r="B1" s="37"/>
      <c r="C1" s="37"/>
      <c r="D1" s="37"/>
      <c r="E1" s="37"/>
      <c r="F1" s="37"/>
      <c r="G1" s="37"/>
      <c r="H1" s="37"/>
      <c r="I1" s="1"/>
    </row>
    <row r="2" spans="1:9" ht="15" customHeight="1" x14ac:dyDescent="0.25">
      <c r="A2" s="1"/>
      <c r="B2" s="129" t="s">
        <v>109</v>
      </c>
      <c r="C2" s="129"/>
      <c r="D2" s="129"/>
      <c r="E2" s="129"/>
      <c r="F2" s="129"/>
      <c r="G2" s="129"/>
      <c r="H2" s="129"/>
      <c r="I2" s="1"/>
    </row>
    <row r="3" spans="1:9" ht="28.5" customHeight="1" x14ac:dyDescent="0.25">
      <c r="A3" s="1"/>
      <c r="B3" s="129"/>
      <c r="C3" s="129"/>
      <c r="D3" s="129"/>
      <c r="E3" s="129"/>
      <c r="F3" s="129"/>
      <c r="G3" s="129"/>
      <c r="H3" s="129"/>
      <c r="I3" s="1"/>
    </row>
    <row r="4" spans="1:9" x14ac:dyDescent="0.25">
      <c r="A4" s="1"/>
      <c r="B4" s="136" t="s">
        <v>52</v>
      </c>
      <c r="C4" s="137"/>
      <c r="D4" s="137"/>
      <c r="E4" s="137"/>
      <c r="F4" s="137"/>
      <c r="G4" s="137"/>
      <c r="H4" s="138"/>
      <c r="I4" s="1"/>
    </row>
    <row r="5" spans="1:9" x14ac:dyDescent="0.25">
      <c r="A5" s="1"/>
      <c r="B5" s="141" t="s">
        <v>41</v>
      </c>
      <c r="C5" s="142"/>
      <c r="D5" s="142"/>
      <c r="E5" s="142"/>
      <c r="F5" s="143"/>
      <c r="G5" s="23">
        <v>16593658</v>
      </c>
      <c r="H5" s="14" t="s">
        <v>3</v>
      </c>
      <c r="I5" s="1"/>
    </row>
    <row r="6" spans="1:9" x14ac:dyDescent="0.25">
      <c r="A6" s="1"/>
      <c r="B6" s="126" t="s">
        <v>120</v>
      </c>
      <c r="C6" s="127"/>
      <c r="D6" s="127"/>
      <c r="E6" s="127"/>
      <c r="F6" s="128"/>
      <c r="G6" s="9">
        <v>0</v>
      </c>
      <c r="H6" s="14" t="s">
        <v>3</v>
      </c>
      <c r="I6" s="1"/>
    </row>
    <row r="7" spans="1:9" x14ac:dyDescent="0.25">
      <c r="A7" s="1"/>
      <c r="B7" s="141" t="s">
        <v>42</v>
      </c>
      <c r="C7" s="142"/>
      <c r="D7" s="142"/>
      <c r="E7" s="142"/>
      <c r="F7" s="143"/>
      <c r="G7" s="23">
        <f>SUM(G5:G6)*'Fane 15. Nøgletal'!C31</f>
        <v>331873.16000000003</v>
      </c>
      <c r="H7" s="14" t="s">
        <v>3</v>
      </c>
      <c r="I7" s="1"/>
    </row>
    <row r="8" spans="1:9" x14ac:dyDescent="0.25">
      <c r="A8" s="1"/>
      <c r="B8" s="33"/>
      <c r="C8" s="28"/>
      <c r="D8" s="28"/>
      <c r="E8" s="28"/>
      <c r="F8" s="28"/>
      <c r="G8" s="28"/>
      <c r="H8" s="19"/>
      <c r="I8" s="1"/>
    </row>
    <row r="9" spans="1:9" x14ac:dyDescent="0.25">
      <c r="A9" s="1"/>
      <c r="B9" s="1"/>
      <c r="C9" s="1"/>
      <c r="D9" s="1"/>
      <c r="E9" s="1"/>
      <c r="F9" s="1"/>
      <c r="G9" s="1"/>
      <c r="H9" s="1"/>
      <c r="I9" s="1"/>
    </row>
    <row r="10" spans="1:9" x14ac:dyDescent="0.25">
      <c r="A10" s="1"/>
      <c r="B10" s="136" t="s">
        <v>53</v>
      </c>
      <c r="C10" s="137"/>
      <c r="D10" s="137"/>
      <c r="E10" s="137"/>
      <c r="F10" s="137"/>
      <c r="G10" s="137"/>
      <c r="H10" s="138"/>
      <c r="I10" s="1"/>
    </row>
    <row r="11" spans="1:9" x14ac:dyDescent="0.25">
      <c r="A11" s="1"/>
      <c r="B11" s="141" t="s">
        <v>43</v>
      </c>
      <c r="C11" s="142"/>
      <c r="D11" s="142"/>
      <c r="E11" s="142"/>
      <c r="F11" s="143"/>
      <c r="G11" s="23">
        <f>(G5-G7)*(1+'Fane 15. Nøgletal'!C10)</f>
        <v>16546366.074700002</v>
      </c>
      <c r="H11" s="14" t="s">
        <v>3</v>
      </c>
      <c r="I11" s="1"/>
    </row>
    <row r="12" spans="1:9" ht="15" customHeight="1" x14ac:dyDescent="0.25">
      <c r="A12" s="1"/>
      <c r="B12" s="141" t="s">
        <v>121</v>
      </c>
      <c r="C12" s="142"/>
      <c r="D12" s="142"/>
      <c r="E12" s="142"/>
      <c r="F12" s="143"/>
      <c r="G12" s="9">
        <v>126533.58990970023</v>
      </c>
      <c r="H12" s="14" t="s">
        <v>3</v>
      </c>
      <c r="I12" s="1"/>
    </row>
    <row r="13" spans="1:9" x14ac:dyDescent="0.25">
      <c r="A13" s="1"/>
      <c r="B13" s="126" t="s">
        <v>118</v>
      </c>
      <c r="C13" s="127"/>
      <c r="D13" s="127"/>
      <c r="E13" s="127"/>
      <c r="F13" s="128"/>
      <c r="G13" s="9">
        <v>0</v>
      </c>
      <c r="H13" s="14" t="s">
        <v>3</v>
      </c>
      <c r="I13" s="1"/>
    </row>
    <row r="14" spans="1:9" x14ac:dyDescent="0.25">
      <c r="A14" s="1"/>
      <c r="B14" s="147" t="s">
        <v>44</v>
      </c>
      <c r="C14" s="148"/>
      <c r="D14" s="148"/>
      <c r="E14" s="148"/>
      <c r="F14" s="149"/>
      <c r="G14" s="9">
        <v>0</v>
      </c>
      <c r="H14" s="14" t="s">
        <v>3</v>
      </c>
      <c r="I14" s="1"/>
    </row>
    <row r="15" spans="1:9" x14ac:dyDescent="0.25">
      <c r="A15" s="1"/>
      <c r="B15" s="141" t="s">
        <v>45</v>
      </c>
      <c r="C15" s="142"/>
      <c r="D15" s="142"/>
      <c r="E15" s="142"/>
      <c r="F15" s="143"/>
      <c r="G15" s="23">
        <f>SUM(G11:G14)*'Fane 15. Nøgletal'!C31</f>
        <v>333457.99329219403</v>
      </c>
      <c r="H15" s="14" t="s">
        <v>3</v>
      </c>
      <c r="I15" s="1"/>
    </row>
    <row r="16" spans="1:9" x14ac:dyDescent="0.25">
      <c r="A16" s="1"/>
      <c r="B16" s="33"/>
      <c r="C16" s="28"/>
      <c r="D16" s="28"/>
      <c r="E16" s="28"/>
      <c r="F16" s="28"/>
      <c r="G16" s="28"/>
      <c r="H16" s="19"/>
      <c r="I16" s="1"/>
    </row>
    <row r="17" spans="1:9" x14ac:dyDescent="0.25">
      <c r="A17" s="1"/>
      <c r="B17" s="1"/>
      <c r="C17" s="1"/>
      <c r="D17" s="1"/>
      <c r="E17" s="1"/>
      <c r="F17" s="1"/>
      <c r="G17" s="1"/>
      <c r="H17" s="1"/>
      <c r="I17" s="1"/>
    </row>
    <row r="18" spans="1:9" x14ac:dyDescent="0.25">
      <c r="A18" s="1"/>
      <c r="B18" s="136" t="s">
        <v>54</v>
      </c>
      <c r="C18" s="137"/>
      <c r="D18" s="137"/>
      <c r="E18" s="137"/>
      <c r="F18" s="137"/>
      <c r="G18" s="137"/>
      <c r="H18" s="138"/>
      <c r="I18" s="1"/>
    </row>
    <row r="19" spans="1:9" x14ac:dyDescent="0.25">
      <c r="A19" s="1"/>
      <c r="B19" s="141" t="s">
        <v>46</v>
      </c>
      <c r="C19" s="142"/>
      <c r="D19" s="142"/>
      <c r="E19" s="142"/>
      <c r="F19" s="143"/>
      <c r="G19" s="23">
        <f>(SUM(G11:G12,G14)-(G15))*(1+'Fane 15. Nøgletal'!C10)</f>
        <v>16625381.900565566</v>
      </c>
      <c r="H19" s="14" t="s">
        <v>3</v>
      </c>
      <c r="I19" s="1"/>
    </row>
    <row r="20" spans="1:9" x14ac:dyDescent="0.25">
      <c r="A20" s="1"/>
      <c r="B20" s="147" t="s">
        <v>47</v>
      </c>
      <c r="C20" s="148"/>
      <c r="D20" s="148"/>
      <c r="E20" s="148"/>
      <c r="F20" s="149"/>
      <c r="G20" s="9">
        <v>0</v>
      </c>
      <c r="H20" s="14" t="s">
        <v>3</v>
      </c>
      <c r="I20" s="1"/>
    </row>
    <row r="21" spans="1:9" x14ac:dyDescent="0.25">
      <c r="A21" s="1"/>
      <c r="B21" s="141" t="s">
        <v>48</v>
      </c>
      <c r="C21" s="142"/>
      <c r="D21" s="142"/>
      <c r="E21" s="142"/>
      <c r="F21" s="143"/>
      <c r="G21" s="23">
        <f>SUM(G19:G20)*'Fane 15. Nøgletal'!C31</f>
        <v>332507.63801131136</v>
      </c>
      <c r="H21" s="14" t="s">
        <v>3</v>
      </c>
      <c r="I21" s="1"/>
    </row>
    <row r="22" spans="1:9" x14ac:dyDescent="0.25">
      <c r="A22" s="1"/>
      <c r="B22" s="33"/>
      <c r="C22" s="28"/>
      <c r="D22" s="28"/>
      <c r="E22" s="28"/>
      <c r="F22" s="28"/>
      <c r="G22" s="28"/>
      <c r="H22" s="19"/>
      <c r="I22" s="1"/>
    </row>
    <row r="23" spans="1:9" x14ac:dyDescent="0.25">
      <c r="A23" s="1"/>
      <c r="B23" s="1"/>
      <c r="C23" s="1"/>
      <c r="D23" s="1"/>
      <c r="E23" s="1"/>
      <c r="F23" s="1"/>
      <c r="G23" s="1"/>
      <c r="H23" s="1"/>
      <c r="I23" s="1"/>
    </row>
    <row r="24" spans="1:9" x14ac:dyDescent="0.25">
      <c r="A24" s="1"/>
      <c r="B24" s="136" t="s">
        <v>55</v>
      </c>
      <c r="C24" s="137"/>
      <c r="D24" s="137"/>
      <c r="E24" s="137"/>
      <c r="F24" s="137"/>
      <c r="G24" s="137"/>
      <c r="H24" s="138"/>
      <c r="I24" s="1"/>
    </row>
    <row r="25" spans="1:9" x14ac:dyDescent="0.25">
      <c r="A25" s="1"/>
      <c r="B25" s="141" t="s">
        <v>49</v>
      </c>
      <c r="C25" s="142"/>
      <c r="D25" s="142"/>
      <c r="E25" s="142"/>
      <c r="F25" s="143"/>
      <c r="G25" s="23">
        <f>(G19+G20-G21)*(1+'Fane 15. Nøgletal'!C12)</f>
        <v>16613843.885526573</v>
      </c>
      <c r="H25" s="14" t="s">
        <v>3</v>
      </c>
      <c r="I25" s="1"/>
    </row>
    <row r="26" spans="1:9" x14ac:dyDescent="0.25">
      <c r="A26" s="1"/>
      <c r="B26" s="147" t="s">
        <v>50</v>
      </c>
      <c r="C26" s="148"/>
      <c r="D26" s="148"/>
      <c r="E26" s="148"/>
      <c r="F26" s="149"/>
      <c r="G26" s="9">
        <v>0</v>
      </c>
      <c r="H26" s="14" t="s">
        <v>3</v>
      </c>
      <c r="I26" s="1"/>
    </row>
    <row r="27" spans="1:9" x14ac:dyDescent="0.25">
      <c r="A27" s="1"/>
      <c r="B27" s="141" t="s">
        <v>51</v>
      </c>
      <c r="C27" s="142"/>
      <c r="D27" s="142"/>
      <c r="E27" s="142"/>
      <c r="F27" s="143"/>
      <c r="G27" s="23">
        <f>(G25+G26)*'Fane 15. Nøgletal'!C31</f>
        <v>332276.87771053147</v>
      </c>
      <c r="H27" s="14" t="s">
        <v>3</v>
      </c>
      <c r="I27" s="1"/>
    </row>
    <row r="28" spans="1:9" x14ac:dyDescent="0.25">
      <c r="A28" s="1"/>
      <c r="B28" s="33"/>
      <c r="C28" s="28"/>
      <c r="D28" s="28"/>
      <c r="E28" s="28"/>
      <c r="F28" s="28"/>
      <c r="G28" s="28"/>
      <c r="H28" s="19"/>
      <c r="I28" s="1"/>
    </row>
    <row r="29" spans="1:9" x14ac:dyDescent="0.25">
      <c r="A29" s="1"/>
      <c r="B29" s="1"/>
      <c r="C29" s="1"/>
      <c r="D29" s="1"/>
      <c r="E29" s="1"/>
      <c r="F29" s="1"/>
      <c r="G29" s="1"/>
      <c r="H29" s="1"/>
      <c r="I29" s="1"/>
    </row>
    <row r="30" spans="1:9" x14ac:dyDescent="0.25">
      <c r="A30" s="1"/>
      <c r="B30" s="136" t="s">
        <v>58</v>
      </c>
      <c r="C30" s="137"/>
      <c r="D30" s="137"/>
      <c r="E30" s="137"/>
      <c r="F30" s="137"/>
      <c r="G30" s="137"/>
      <c r="H30" s="138"/>
      <c r="I30" s="1"/>
    </row>
    <row r="31" spans="1:9" x14ac:dyDescent="0.25">
      <c r="A31" s="1"/>
      <c r="B31" s="141" t="s">
        <v>59</v>
      </c>
      <c r="C31" s="142"/>
      <c r="D31" s="142"/>
      <c r="E31" s="142"/>
      <c r="F31" s="143"/>
      <c r="G31" s="23">
        <f>(G25+G26-G27)*(1+'Fane 15. Nøgletal'!C12)</f>
        <v>16602313.87787002</v>
      </c>
      <c r="H31" s="14" t="s">
        <v>3</v>
      </c>
      <c r="I31" s="1"/>
    </row>
    <row r="32" spans="1:9" x14ac:dyDescent="0.25">
      <c r="A32" s="1"/>
      <c r="B32" s="141" t="s">
        <v>137</v>
      </c>
      <c r="C32" s="142"/>
      <c r="D32" s="142"/>
      <c r="E32" s="142"/>
      <c r="F32" s="143"/>
      <c r="G32" s="23">
        <v>703644.77507940005</v>
      </c>
      <c r="H32" s="14" t="s">
        <v>3</v>
      </c>
      <c r="I32" s="1"/>
    </row>
    <row r="33" spans="1:9" x14ac:dyDescent="0.25">
      <c r="A33" s="1"/>
      <c r="B33" s="141" t="s">
        <v>60</v>
      </c>
      <c r="C33" s="142"/>
      <c r="D33" s="142"/>
      <c r="E33" s="142"/>
      <c r="F33" s="143"/>
      <c r="G33" s="23">
        <f>(G31+G32)*'Fane 15. Nøgletal'!C31</f>
        <v>346119.17305898841</v>
      </c>
      <c r="H33" s="14" t="s">
        <v>3</v>
      </c>
      <c r="I33" s="1"/>
    </row>
    <row r="34" spans="1:9" x14ac:dyDescent="0.25">
      <c r="A34" s="1"/>
      <c r="B34" s="33"/>
      <c r="C34" s="28"/>
      <c r="D34" s="28"/>
      <c r="E34" s="28"/>
      <c r="F34" s="28"/>
      <c r="G34" s="28"/>
      <c r="H34" s="19"/>
      <c r="I34" s="1"/>
    </row>
    <row r="35" spans="1:9" x14ac:dyDescent="0.25">
      <c r="A35" s="1"/>
      <c r="B35" s="1"/>
      <c r="C35" s="1"/>
      <c r="D35" s="1"/>
      <c r="E35" s="1"/>
      <c r="F35" s="1"/>
      <c r="G35" s="1"/>
      <c r="H35" s="1"/>
      <c r="I35" s="1"/>
    </row>
    <row r="36" spans="1:9" x14ac:dyDescent="0.25">
      <c r="A36" s="1"/>
      <c r="B36" s="136" t="s">
        <v>160</v>
      </c>
      <c r="C36" s="137"/>
      <c r="D36" s="137"/>
      <c r="E36" s="137"/>
      <c r="F36" s="137"/>
      <c r="G36" s="137"/>
      <c r="H36" s="138"/>
      <c r="I36" s="1"/>
    </row>
    <row r="37" spans="1:9" x14ac:dyDescent="0.25">
      <c r="A37" s="1"/>
      <c r="B37" s="141" t="s">
        <v>79</v>
      </c>
      <c r="C37" s="142"/>
      <c r="D37" s="142"/>
      <c r="E37" s="142"/>
      <c r="F37" s="143"/>
      <c r="G37" s="23">
        <f>(G31+G32-G33)*(1+'Fane 15. Nøgletal'!C14)</f>
        <v>17015806.950174071</v>
      </c>
      <c r="H37" s="14" t="s">
        <v>3</v>
      </c>
      <c r="I37" s="1"/>
    </row>
    <row r="38" spans="1:9" x14ac:dyDescent="0.25">
      <c r="A38" s="1"/>
      <c r="B38" s="141" t="s">
        <v>164</v>
      </c>
      <c r="C38" s="142"/>
      <c r="D38" s="142"/>
      <c r="E38" s="142"/>
      <c r="F38" s="143"/>
      <c r="G38" s="23">
        <v>0</v>
      </c>
      <c r="H38" s="14" t="s">
        <v>3</v>
      </c>
      <c r="I38" s="1"/>
    </row>
    <row r="39" spans="1:9" x14ac:dyDescent="0.25">
      <c r="A39" s="1"/>
      <c r="B39" s="141" t="s">
        <v>162</v>
      </c>
      <c r="C39" s="142"/>
      <c r="D39" s="142"/>
      <c r="E39" s="142"/>
      <c r="F39" s="143"/>
      <c r="G39" s="23">
        <f>(G37+G38)*'Fane 15. Nøgletal'!C31</f>
        <v>340316.13900348142</v>
      </c>
      <c r="H39" s="14" t="s">
        <v>3</v>
      </c>
      <c r="I39" s="1"/>
    </row>
    <row r="40" spans="1:9" x14ac:dyDescent="0.25">
      <c r="A40" s="1"/>
      <c r="B40" s="33"/>
      <c r="C40" s="28"/>
      <c r="D40" s="28"/>
      <c r="E40" s="28"/>
      <c r="F40" s="28"/>
      <c r="G40" s="28"/>
      <c r="H40" s="19"/>
      <c r="I40" s="1"/>
    </row>
    <row r="41" spans="1:9" x14ac:dyDescent="0.25">
      <c r="A41" s="1"/>
      <c r="B41" s="1"/>
      <c r="C41" s="1"/>
      <c r="D41" s="1"/>
      <c r="E41" s="1"/>
      <c r="F41" s="1"/>
      <c r="G41" s="1"/>
      <c r="H41" s="1"/>
      <c r="I41" s="1"/>
    </row>
    <row r="42" spans="1:9" x14ac:dyDescent="0.25">
      <c r="A42" s="1"/>
      <c r="B42" s="136" t="s">
        <v>161</v>
      </c>
      <c r="C42" s="137"/>
      <c r="D42" s="137"/>
      <c r="E42" s="137"/>
      <c r="F42" s="137"/>
      <c r="G42" s="137"/>
      <c r="H42" s="138"/>
      <c r="I42" s="1"/>
    </row>
    <row r="43" spans="1:9" x14ac:dyDescent="0.25">
      <c r="A43" s="1"/>
      <c r="B43" s="141" t="s">
        <v>229</v>
      </c>
      <c r="C43" s="142"/>
      <c r="D43" s="142"/>
      <c r="E43" s="142"/>
      <c r="F43" s="143"/>
      <c r="G43" s="23">
        <f>(G37+G38-G39)*(1+'Fane 15. Nøgletal'!C14)</f>
        <v>16730519.930847453</v>
      </c>
      <c r="H43" s="14" t="s">
        <v>3</v>
      </c>
      <c r="I43" s="1"/>
    </row>
    <row r="44" spans="1:9" x14ac:dyDescent="0.25">
      <c r="A44" s="1"/>
      <c r="B44" s="144" t="s">
        <v>231</v>
      </c>
      <c r="C44" s="145"/>
      <c r="D44" s="145"/>
      <c r="E44" s="145"/>
      <c r="F44" s="146"/>
      <c r="G44" s="49">
        <f>('Fane 2.1. Økonomisk ramme 2023'!C10+'Fane 2.1. Økonomisk ramme 2023'!C12+'Fane 2.1. Økonomisk ramme 2023'!C14)*(1+'Fane 15. Nøgletal'!C15)</f>
        <v>61222.871712960012</v>
      </c>
      <c r="H44" s="14" t="s">
        <v>3</v>
      </c>
      <c r="I44" s="1"/>
    </row>
    <row r="45" spans="1:9" x14ac:dyDescent="0.25">
      <c r="A45" s="1"/>
      <c r="B45" s="141" t="s">
        <v>163</v>
      </c>
      <c r="C45" s="142"/>
      <c r="D45" s="142"/>
      <c r="E45" s="142"/>
      <c r="F45" s="143"/>
      <c r="G45" s="23">
        <f>SUM(G43:G44)*'Fane 15. Nøgletal'!C31</f>
        <v>335834.85605120822</v>
      </c>
      <c r="H45" s="14" t="s">
        <v>3</v>
      </c>
      <c r="I45" s="1"/>
    </row>
    <row r="46" spans="1:9" x14ac:dyDescent="0.25">
      <c r="A46" s="1"/>
      <c r="B46" s="33"/>
      <c r="C46" s="28"/>
      <c r="D46" s="28"/>
      <c r="E46" s="28"/>
      <c r="F46" s="28"/>
      <c r="G46" s="28"/>
      <c r="H46" s="19"/>
      <c r="I46" s="1"/>
    </row>
    <row r="47" spans="1:9" x14ac:dyDescent="0.25">
      <c r="A47" s="1"/>
      <c r="B47" s="1"/>
      <c r="C47" s="1"/>
      <c r="D47" s="1"/>
      <c r="E47" s="1"/>
      <c r="F47" s="1"/>
      <c r="G47" s="1"/>
      <c r="H47" s="1"/>
      <c r="I47" s="1"/>
    </row>
    <row r="48" spans="1:9" x14ac:dyDescent="0.25">
      <c r="A48" s="1"/>
      <c r="B48" s="1"/>
      <c r="C48" s="1"/>
      <c r="D48" s="1"/>
      <c r="E48" s="1"/>
      <c r="F48" s="1"/>
      <c r="G48" s="50"/>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36" t="s">
        <v>242</v>
      </c>
      <c r="C51" s="137"/>
      <c r="D51" s="137"/>
      <c r="E51" s="137"/>
      <c r="F51" s="137"/>
      <c r="G51" s="137"/>
      <c r="H51" s="138"/>
      <c r="I51" s="1"/>
    </row>
    <row r="52" spans="1:9" x14ac:dyDescent="0.25">
      <c r="A52" s="1"/>
      <c r="B52" s="141" t="s">
        <v>228</v>
      </c>
      <c r="C52" s="142"/>
      <c r="D52" s="142"/>
      <c r="E52" s="142"/>
      <c r="F52" s="143"/>
      <c r="G52" s="23">
        <f>(G43+G44-G45)*(1+'Fane 15. Nøgletal'!C15)</f>
        <v>17041738.269404933</v>
      </c>
      <c r="H52" s="14" t="s">
        <v>3</v>
      </c>
      <c r="I52" s="1"/>
    </row>
    <row r="53" spans="1:9" x14ac:dyDescent="0.25">
      <c r="A53" s="1"/>
      <c r="B53" s="141" t="s">
        <v>138</v>
      </c>
      <c r="C53" s="142"/>
      <c r="D53" s="142"/>
      <c r="E53" s="142"/>
      <c r="F53" s="143"/>
      <c r="G53" s="23">
        <f>(G52)*'Fane 15. Nøgletal'!C31</f>
        <v>340834.76538809866</v>
      </c>
      <c r="H53" s="14" t="s">
        <v>3</v>
      </c>
      <c r="I53" s="1"/>
    </row>
    <row r="54" spans="1:9" x14ac:dyDescent="0.25">
      <c r="A54" s="1"/>
      <c r="B54" s="33"/>
      <c r="C54" s="28"/>
      <c r="D54" s="28"/>
      <c r="E54" s="28"/>
      <c r="F54" s="28"/>
      <c r="G54" s="28"/>
      <c r="H54" s="19"/>
      <c r="I54" s="1"/>
    </row>
    <row r="55" spans="1:9" x14ac:dyDescent="0.25">
      <c r="A55" s="1"/>
      <c r="B55" s="1"/>
      <c r="C55" s="1"/>
      <c r="D55" s="1"/>
      <c r="E55" s="1"/>
      <c r="F55" s="1"/>
      <c r="G55" s="1"/>
      <c r="H55" s="1"/>
      <c r="I55" s="1"/>
    </row>
    <row r="56" spans="1:9" x14ac:dyDescent="0.25">
      <c r="A56" s="1"/>
      <c r="B56" s="136" t="s">
        <v>150</v>
      </c>
      <c r="C56" s="137"/>
      <c r="D56" s="137"/>
      <c r="E56" s="137"/>
      <c r="F56" s="137"/>
      <c r="G56" s="137"/>
      <c r="H56" s="138"/>
      <c r="I56" s="1"/>
    </row>
    <row r="57" spans="1:9" x14ac:dyDescent="0.25">
      <c r="A57" s="1"/>
      <c r="B57" s="89" t="s">
        <v>151</v>
      </c>
      <c r="C57" s="90"/>
      <c r="D57" s="90"/>
      <c r="E57" s="90"/>
      <c r="F57" s="91"/>
      <c r="G57" s="23">
        <f>(G52-G53)*(1+'Fane 15. Nøgletal'!C15)</f>
        <v>17295455.668759834</v>
      </c>
      <c r="H57" s="14" t="s">
        <v>3</v>
      </c>
      <c r="I57" s="1"/>
    </row>
    <row r="58" spans="1:9" x14ac:dyDescent="0.25">
      <c r="A58" s="1"/>
      <c r="B58" s="89" t="s">
        <v>152</v>
      </c>
      <c r="C58" s="90"/>
      <c r="D58" s="90"/>
      <c r="E58" s="90"/>
      <c r="F58" s="91"/>
      <c r="G58" s="23">
        <f>(G57)*'Fane 15. Nøgletal'!C31</f>
        <v>345909.1133751967</v>
      </c>
      <c r="H58" s="14" t="s">
        <v>3</v>
      </c>
      <c r="I58" s="1"/>
    </row>
    <row r="59" spans="1:9" x14ac:dyDescent="0.25">
      <c r="A59" s="1"/>
      <c r="B59" s="33"/>
      <c r="C59" s="28"/>
      <c r="D59" s="28"/>
      <c r="E59" s="28"/>
      <c r="F59" s="28"/>
      <c r="G59" s="28"/>
      <c r="H59" s="19"/>
      <c r="I59" s="1"/>
    </row>
    <row r="60" spans="1:9" x14ac:dyDescent="0.25">
      <c r="A60" s="1"/>
      <c r="B60" s="1"/>
      <c r="C60" s="1"/>
      <c r="D60" s="1"/>
      <c r="E60" s="1"/>
      <c r="F60" s="1"/>
      <c r="G60" s="1"/>
      <c r="H60" s="1"/>
      <c r="I60" s="1"/>
    </row>
    <row r="61" spans="1:9" x14ac:dyDescent="0.25">
      <c r="A61" s="1"/>
      <c r="B61" s="136" t="s">
        <v>193</v>
      </c>
      <c r="C61" s="137"/>
      <c r="D61" s="137"/>
      <c r="E61" s="137"/>
      <c r="F61" s="137"/>
      <c r="G61" s="137"/>
      <c r="H61" s="138"/>
      <c r="I61" s="1"/>
    </row>
    <row r="62" spans="1:9" x14ac:dyDescent="0.25">
      <c r="A62" s="1"/>
      <c r="B62" s="89" t="s">
        <v>194</v>
      </c>
      <c r="C62" s="90"/>
      <c r="D62" s="90"/>
      <c r="E62" s="90"/>
      <c r="F62" s="91"/>
      <c r="G62" s="23">
        <f>(G57-G58)*(1+'Fane 15. Nøgletal'!C15)</f>
        <v>17552950.412756331</v>
      </c>
      <c r="H62" s="14" t="s">
        <v>3</v>
      </c>
      <c r="I62" s="1"/>
    </row>
    <row r="63" spans="1:9" x14ac:dyDescent="0.25">
      <c r="A63" s="1"/>
      <c r="B63" s="89" t="s">
        <v>195</v>
      </c>
      <c r="C63" s="90"/>
      <c r="D63" s="90"/>
      <c r="E63" s="90"/>
      <c r="F63" s="91"/>
      <c r="G63" s="23">
        <f>(G62)*'Fane 15. Nøgletal'!C31</f>
        <v>351059.00825512665</v>
      </c>
      <c r="H63" s="14" t="s">
        <v>3</v>
      </c>
      <c r="I63" s="1"/>
    </row>
    <row r="64" spans="1:9" x14ac:dyDescent="0.25">
      <c r="A64" s="1"/>
      <c r="B64" s="33"/>
      <c r="C64" s="28"/>
      <c r="D64" s="28"/>
      <c r="E64" s="28"/>
      <c r="F64" s="28"/>
      <c r="G64" s="28"/>
      <c r="H64" s="19"/>
      <c r="I64" s="1"/>
    </row>
    <row r="65" spans="1:9" x14ac:dyDescent="0.25">
      <c r="A65" s="1"/>
      <c r="B65" s="1"/>
      <c r="C65" s="1"/>
      <c r="D65" s="1"/>
      <c r="E65" s="1"/>
      <c r="F65" s="1"/>
      <c r="G65" s="1"/>
      <c r="H65" s="1"/>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53"/>
    </row>
  </sheetData>
  <sheetProtection algorithmName="SHA-512" hashValue="icsgAjLsqnZgQwqEsyp5ZS3i4wJVuNKMupgcyoNu88z7N935/LHN6fSSZLDc86t6P415CBBzIz35pFWWb7jUIg==" saltValue="3rLFV16Hldc+Qxq6+e41/w==" spinCount="100000" sheet="1" objects="1" scenarios="1"/>
  <mergeCells count="36">
    <mergeCell ref="B6:F6"/>
    <mergeCell ref="B2:H3"/>
    <mergeCell ref="B24:H24"/>
    <mergeCell ref="B4:H4"/>
    <mergeCell ref="B5:F5"/>
    <mergeCell ref="B7:F7"/>
    <mergeCell ref="B12:F12"/>
    <mergeCell ref="B13:F13"/>
    <mergeCell ref="B18:H18"/>
    <mergeCell ref="B14:F14"/>
    <mergeCell ref="B26:F26"/>
    <mergeCell ref="B27:F27"/>
    <mergeCell ref="B61:H61"/>
    <mergeCell ref="B11:F11"/>
    <mergeCell ref="B10:H10"/>
    <mergeCell ref="B30:H30"/>
    <mergeCell ref="B31:F31"/>
    <mergeCell ref="B36:H36"/>
    <mergeCell ref="B15:F15"/>
    <mergeCell ref="B19:F19"/>
    <mergeCell ref="B20:F20"/>
    <mergeCell ref="B21:F21"/>
    <mergeCell ref="B25:F25"/>
    <mergeCell ref="B56:H56"/>
    <mergeCell ref="B51:H51"/>
    <mergeCell ref="B52:F52"/>
    <mergeCell ref="B53:F53"/>
    <mergeCell ref="B37:F37"/>
    <mergeCell ref="B32:F32"/>
    <mergeCell ref="B33:F33"/>
    <mergeCell ref="B42:H42"/>
    <mergeCell ref="B43:F43"/>
    <mergeCell ref="B45:F45"/>
    <mergeCell ref="B38:F38"/>
    <mergeCell ref="B39:F39"/>
    <mergeCell ref="B44:F44"/>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I70"/>
  <sheetViews>
    <sheetView showGridLines="0" view="pageLayout" zoomScale="87" zoomScaleNormal="100" zoomScalePageLayoutView="87" workbookViewId="0"/>
  </sheetViews>
  <sheetFormatPr defaultColWidth="9.140625" defaultRowHeight="15" x14ac:dyDescent="0.25"/>
  <cols>
    <col min="1" max="1" width="2.28515625" style="2" customWidth="1"/>
    <col min="2" max="5" width="9.140625" style="2"/>
    <col min="6" max="6" width="28.28515625" style="2" customWidth="1"/>
    <col min="7" max="7" width="14.140625" style="2" customWidth="1"/>
    <col min="8" max="8" width="3.28515625" style="2" customWidth="1"/>
    <col min="9" max="9" width="2.28515625" style="2" customWidth="1"/>
    <col min="10" max="16384" width="9.140625" style="2"/>
  </cols>
  <sheetData>
    <row r="1" spans="1:9" ht="14.25" customHeight="1" x14ac:dyDescent="0.25">
      <c r="A1" s="1"/>
      <c r="B1" s="150" t="s">
        <v>110</v>
      </c>
      <c r="C1" s="150"/>
      <c r="D1" s="150"/>
      <c r="E1" s="150"/>
      <c r="F1" s="150"/>
      <c r="G1" s="150"/>
      <c r="H1" s="150"/>
      <c r="I1" s="1"/>
    </row>
    <row r="2" spans="1:9" ht="15" customHeight="1" x14ac:dyDescent="0.25">
      <c r="A2" s="1"/>
      <c r="B2" s="150"/>
      <c r="C2" s="150"/>
      <c r="D2" s="150"/>
      <c r="E2" s="150"/>
      <c r="F2" s="150"/>
      <c r="G2" s="150"/>
      <c r="H2" s="150"/>
      <c r="I2" s="1"/>
    </row>
    <row r="3" spans="1:9" ht="15" customHeight="1" x14ac:dyDescent="0.25">
      <c r="A3" s="1"/>
      <c r="B3" s="151"/>
      <c r="C3" s="151"/>
      <c r="D3" s="151"/>
      <c r="E3" s="151"/>
      <c r="F3" s="151"/>
      <c r="G3" s="151"/>
      <c r="H3" s="151"/>
      <c r="I3" s="1"/>
    </row>
    <row r="4" spans="1:9" x14ac:dyDescent="0.25">
      <c r="A4" s="1"/>
      <c r="B4" s="136" t="s">
        <v>56</v>
      </c>
      <c r="C4" s="137"/>
      <c r="D4" s="137"/>
      <c r="E4" s="137"/>
      <c r="F4" s="137"/>
      <c r="G4" s="137"/>
      <c r="H4" s="138"/>
      <c r="I4" s="1"/>
    </row>
    <row r="5" spans="1:9" x14ac:dyDescent="0.25">
      <c r="A5" s="1"/>
      <c r="B5" s="141" t="s">
        <v>61</v>
      </c>
      <c r="C5" s="142"/>
      <c r="D5" s="142"/>
      <c r="E5" s="142"/>
      <c r="F5" s="143"/>
      <c r="G5" s="23">
        <v>34868293</v>
      </c>
      <c r="H5" s="14" t="s">
        <v>3</v>
      </c>
      <c r="I5" s="1"/>
    </row>
    <row r="6" spans="1:9" x14ac:dyDescent="0.25">
      <c r="A6" s="1"/>
      <c r="B6" s="141" t="s">
        <v>57</v>
      </c>
      <c r="C6" s="142"/>
      <c r="D6" s="142"/>
      <c r="E6" s="142"/>
      <c r="F6" s="143"/>
      <c r="G6" s="23">
        <f>G5*'Fane 15. Nøgletal'!C20</f>
        <v>317301.46630000003</v>
      </c>
      <c r="H6" s="14" t="s">
        <v>3</v>
      </c>
      <c r="I6" s="1"/>
    </row>
    <row r="7" spans="1:9" x14ac:dyDescent="0.25">
      <c r="A7" s="1"/>
      <c r="B7" s="33"/>
      <c r="C7" s="28"/>
      <c r="D7" s="28"/>
      <c r="E7" s="28"/>
      <c r="F7" s="28"/>
      <c r="G7" s="28"/>
      <c r="H7" s="19"/>
      <c r="I7" s="1"/>
    </row>
    <row r="8" spans="1:9" x14ac:dyDescent="0.25">
      <c r="A8" s="1"/>
      <c r="B8" s="1"/>
      <c r="C8" s="1"/>
      <c r="D8" s="1"/>
      <c r="E8" s="1"/>
      <c r="F8" s="1"/>
      <c r="G8" s="1"/>
      <c r="H8" s="1"/>
      <c r="I8" s="1"/>
    </row>
    <row r="9" spans="1:9" x14ac:dyDescent="0.25">
      <c r="A9" s="1"/>
      <c r="B9" s="136" t="s">
        <v>62</v>
      </c>
      <c r="C9" s="137"/>
      <c r="D9" s="137"/>
      <c r="E9" s="137"/>
      <c r="F9" s="137"/>
      <c r="G9" s="137"/>
      <c r="H9" s="138"/>
      <c r="I9" s="1"/>
    </row>
    <row r="10" spans="1:9" x14ac:dyDescent="0.25">
      <c r="A10" s="1"/>
      <c r="B10" s="141" t="s">
        <v>63</v>
      </c>
      <c r="C10" s="142"/>
      <c r="D10" s="142"/>
      <c r="E10" s="142"/>
      <c r="F10" s="143"/>
      <c r="G10" s="23">
        <f>(G5-G6)*(1+'Fane 15. Nøgletal'!C10)</f>
        <v>35155633.885539748</v>
      </c>
      <c r="H10" s="14" t="s">
        <v>3</v>
      </c>
      <c r="I10" s="1"/>
    </row>
    <row r="11" spans="1:9" x14ac:dyDescent="0.25">
      <c r="A11" s="1"/>
      <c r="B11" s="141" t="s">
        <v>122</v>
      </c>
      <c r="C11" s="142"/>
      <c r="D11" s="142"/>
      <c r="E11" s="142"/>
      <c r="F11" s="143"/>
      <c r="G11" s="73">
        <v>139079.67432447508</v>
      </c>
      <c r="H11" s="14" t="s">
        <v>3</v>
      </c>
      <c r="I11" s="1"/>
    </row>
    <row r="12" spans="1:9" x14ac:dyDescent="0.25">
      <c r="A12" s="1"/>
      <c r="B12" s="147" t="s">
        <v>64</v>
      </c>
      <c r="C12" s="148"/>
      <c r="D12" s="148"/>
      <c r="E12" s="148"/>
      <c r="F12" s="149"/>
      <c r="G12" s="9">
        <v>0</v>
      </c>
      <c r="H12" s="14" t="s">
        <v>3</v>
      </c>
      <c r="I12" s="1"/>
    </row>
    <row r="13" spans="1:9" x14ac:dyDescent="0.25">
      <c r="A13" s="1"/>
      <c r="B13" s="141" t="s">
        <v>65</v>
      </c>
      <c r="C13" s="142"/>
      <c r="D13" s="142"/>
      <c r="E13" s="142"/>
      <c r="F13" s="143"/>
      <c r="G13" s="23">
        <f>SUM(G10:G12)*'Fane 15. Nøgletal'!C21</f>
        <v>624716.43000959675</v>
      </c>
      <c r="H13" s="14" t="s">
        <v>3</v>
      </c>
      <c r="I13" s="1"/>
    </row>
    <row r="14" spans="1:9" x14ac:dyDescent="0.25">
      <c r="A14" s="1"/>
      <c r="B14" s="33"/>
      <c r="C14" s="28"/>
      <c r="D14" s="28"/>
      <c r="E14" s="28"/>
      <c r="F14" s="28"/>
      <c r="G14" s="28"/>
      <c r="H14" s="19"/>
      <c r="I14" s="1"/>
    </row>
    <row r="15" spans="1:9" x14ac:dyDescent="0.25">
      <c r="A15" s="1"/>
      <c r="B15" s="1"/>
      <c r="C15" s="1"/>
      <c r="D15" s="1"/>
      <c r="E15" s="1"/>
      <c r="F15" s="1"/>
      <c r="G15" s="1"/>
      <c r="H15" s="1"/>
      <c r="I15" s="1"/>
    </row>
    <row r="16" spans="1:9" x14ac:dyDescent="0.25">
      <c r="A16" s="1"/>
      <c r="B16" s="136" t="s">
        <v>66</v>
      </c>
      <c r="C16" s="137"/>
      <c r="D16" s="137"/>
      <c r="E16" s="137"/>
      <c r="F16" s="137"/>
      <c r="G16" s="137"/>
      <c r="H16" s="138"/>
      <c r="I16" s="1"/>
    </row>
    <row r="17" spans="1:9" x14ac:dyDescent="0.25">
      <c r="A17" s="1"/>
      <c r="B17" s="141" t="s">
        <v>67</v>
      </c>
      <c r="C17" s="142"/>
      <c r="D17" s="142"/>
      <c r="E17" s="142"/>
      <c r="F17" s="143"/>
      <c r="G17" s="23">
        <f>(SUM(G10:G12)-G13)*(1+'Fane 15. Nøgletal'!C10)</f>
        <v>35276722.079627082</v>
      </c>
      <c r="H17" s="14" t="s">
        <v>3</v>
      </c>
      <c r="I17" s="1"/>
    </row>
    <row r="18" spans="1:9" x14ac:dyDescent="0.25">
      <c r="A18" s="1"/>
      <c r="B18" s="147" t="s">
        <v>68</v>
      </c>
      <c r="C18" s="148"/>
      <c r="D18" s="148"/>
      <c r="E18" s="148"/>
      <c r="F18" s="149"/>
      <c r="G18" s="23">
        <v>0</v>
      </c>
      <c r="H18" s="14" t="s">
        <v>3</v>
      </c>
      <c r="I18" s="1"/>
    </row>
    <row r="19" spans="1:9" x14ac:dyDescent="0.25">
      <c r="A19" s="1"/>
      <c r="B19" s="141" t="s">
        <v>69</v>
      </c>
      <c r="C19" s="142"/>
      <c r="D19" s="142"/>
      <c r="E19" s="142"/>
      <c r="F19" s="143"/>
      <c r="G19" s="23">
        <f>G17*'Fane 15. Nøgletal'!C21+G18*'Fane 15. Nøgletal'!C22</f>
        <v>624397.98080939939</v>
      </c>
      <c r="H19" s="14" t="s">
        <v>3</v>
      </c>
      <c r="I19" s="1"/>
    </row>
    <row r="20" spans="1:9" x14ac:dyDescent="0.25">
      <c r="A20" s="1"/>
      <c r="B20" s="33"/>
      <c r="C20" s="28"/>
      <c r="D20" s="28"/>
      <c r="E20" s="28"/>
      <c r="F20" s="28"/>
      <c r="G20" s="28"/>
      <c r="H20" s="19"/>
      <c r="I20" s="1"/>
    </row>
    <row r="21" spans="1:9" x14ac:dyDescent="0.25">
      <c r="A21" s="1"/>
      <c r="B21" s="1"/>
      <c r="C21" s="1"/>
      <c r="D21" s="1"/>
      <c r="E21" s="1"/>
      <c r="F21" s="1"/>
      <c r="G21" s="1"/>
      <c r="H21" s="1"/>
      <c r="I21" s="1"/>
    </row>
    <row r="22" spans="1:9" x14ac:dyDescent="0.25">
      <c r="A22" s="1"/>
      <c r="B22" s="136" t="s">
        <v>70</v>
      </c>
      <c r="C22" s="137"/>
      <c r="D22" s="137"/>
      <c r="E22" s="137"/>
      <c r="F22" s="137"/>
      <c r="G22" s="137"/>
      <c r="H22" s="138"/>
      <c r="I22" s="1"/>
    </row>
    <row r="23" spans="1:9" x14ac:dyDescent="0.25">
      <c r="A23" s="1"/>
      <c r="B23" s="141" t="s">
        <v>71</v>
      </c>
      <c r="C23" s="142"/>
      <c r="D23" s="142"/>
      <c r="E23" s="142"/>
      <c r="F23" s="143"/>
      <c r="G23" s="23">
        <f>(G17+G18-G19)*(1+'Fane 15. Nøgletal'!C12)</f>
        <v>35334974.88356439</v>
      </c>
      <c r="H23" s="14" t="s">
        <v>3</v>
      </c>
      <c r="I23" s="1"/>
    </row>
    <row r="24" spans="1:9" x14ac:dyDescent="0.25">
      <c r="A24" s="1"/>
      <c r="B24" s="147" t="s">
        <v>72</v>
      </c>
      <c r="C24" s="148"/>
      <c r="D24" s="148"/>
      <c r="E24" s="148"/>
      <c r="F24" s="149"/>
      <c r="G24" s="23">
        <v>0</v>
      </c>
      <c r="H24" s="14" t="s">
        <v>3</v>
      </c>
      <c r="I24" s="1"/>
    </row>
    <row r="25" spans="1:9" x14ac:dyDescent="0.25">
      <c r="A25" s="1"/>
      <c r="B25" s="141" t="s">
        <v>73</v>
      </c>
      <c r="C25" s="142"/>
      <c r="D25" s="142"/>
      <c r="E25" s="142"/>
      <c r="F25" s="143"/>
      <c r="G25" s="23">
        <f>(G23+G24)*'Fane 15. Nøgletal'!C23</f>
        <v>1003513.2866932288</v>
      </c>
      <c r="H25" s="14" t="s">
        <v>3</v>
      </c>
      <c r="I25" s="1"/>
    </row>
    <row r="26" spans="1:9" x14ac:dyDescent="0.25">
      <c r="A26" s="1"/>
      <c r="B26" s="33"/>
      <c r="C26" s="28"/>
      <c r="D26" s="28"/>
      <c r="E26" s="28"/>
      <c r="F26" s="28"/>
      <c r="G26" s="28"/>
      <c r="H26" s="19"/>
      <c r="I26" s="1"/>
    </row>
    <row r="27" spans="1:9" x14ac:dyDescent="0.25">
      <c r="A27" s="1"/>
      <c r="B27" s="1"/>
      <c r="C27" s="1"/>
      <c r="D27" s="1"/>
      <c r="E27" s="1"/>
      <c r="F27" s="1"/>
      <c r="G27" s="1"/>
      <c r="H27" s="1"/>
      <c r="I27" s="1"/>
    </row>
    <row r="28" spans="1:9" x14ac:dyDescent="0.25">
      <c r="A28" s="1"/>
      <c r="B28" s="136" t="s">
        <v>74</v>
      </c>
      <c r="C28" s="137"/>
      <c r="D28" s="137"/>
      <c r="E28" s="137"/>
      <c r="F28" s="137"/>
      <c r="G28" s="137"/>
      <c r="H28" s="138"/>
      <c r="I28" s="1"/>
    </row>
    <row r="29" spans="1:9" x14ac:dyDescent="0.25">
      <c r="A29" s="1"/>
      <c r="B29" s="141" t="s">
        <v>75</v>
      </c>
      <c r="C29" s="142"/>
      <c r="D29" s="142"/>
      <c r="E29" s="142"/>
      <c r="F29" s="143"/>
      <c r="G29" s="23">
        <f>(G23+G24-G25)*(1+'Fane 15. Nøgletal'!C12)</f>
        <v>35007791.390329525</v>
      </c>
      <c r="H29" s="14" t="s">
        <v>3</v>
      </c>
      <c r="I29" s="1"/>
    </row>
    <row r="30" spans="1:9" x14ac:dyDescent="0.25">
      <c r="A30" s="1"/>
      <c r="B30" s="141" t="s">
        <v>139</v>
      </c>
      <c r="C30" s="142"/>
      <c r="D30" s="142"/>
      <c r="E30" s="142"/>
      <c r="F30" s="143"/>
      <c r="G30" s="23">
        <v>1614737.12563548</v>
      </c>
      <c r="H30" s="14" t="s">
        <v>3</v>
      </c>
      <c r="I30" s="1"/>
    </row>
    <row r="31" spans="1:9" x14ac:dyDescent="0.25">
      <c r="A31" s="1"/>
      <c r="B31" s="141" t="s">
        <v>76</v>
      </c>
      <c r="C31" s="142"/>
      <c r="D31" s="142"/>
      <c r="E31" s="142"/>
      <c r="F31" s="143"/>
      <c r="G31" s="23">
        <f>G29*'Fane 15. Nøgletal'!C23+G30*'Fane 15. Nøgletal'!C24</f>
        <v>1038626.5464403343</v>
      </c>
      <c r="H31" s="14" t="s">
        <v>3</v>
      </c>
      <c r="I31" s="1"/>
    </row>
    <row r="32" spans="1:9" x14ac:dyDescent="0.25">
      <c r="A32" s="1"/>
      <c r="B32" s="33"/>
      <c r="C32" s="28"/>
      <c r="D32" s="28"/>
      <c r="E32" s="28"/>
      <c r="F32" s="28"/>
      <c r="G32" s="28"/>
      <c r="H32" s="19"/>
      <c r="I32" s="1"/>
    </row>
    <row r="33" spans="1:9" x14ac:dyDescent="0.25">
      <c r="A33" s="1"/>
      <c r="B33" s="1"/>
      <c r="C33" s="1"/>
      <c r="D33" s="1"/>
      <c r="E33" s="1"/>
      <c r="F33" s="1"/>
      <c r="G33" s="1"/>
      <c r="H33" s="1"/>
      <c r="I33" s="1"/>
    </row>
    <row r="34" spans="1:9" x14ac:dyDescent="0.25">
      <c r="A34" s="1"/>
      <c r="B34" s="136" t="s">
        <v>165</v>
      </c>
      <c r="C34" s="137"/>
      <c r="D34" s="137"/>
      <c r="E34" s="137"/>
      <c r="F34" s="137"/>
      <c r="G34" s="137"/>
      <c r="H34" s="138"/>
      <c r="I34" s="1"/>
    </row>
    <row r="35" spans="1:9" x14ac:dyDescent="0.25">
      <c r="A35" s="1"/>
      <c r="B35" s="141" t="s">
        <v>78</v>
      </c>
      <c r="C35" s="142"/>
      <c r="D35" s="142"/>
      <c r="E35" s="142"/>
      <c r="F35" s="143"/>
      <c r="G35" s="23">
        <f>(G29+G30-G31)*(1+'Fane 15. Nøgletal'!C14)</f>
        <v>35701328.846024111</v>
      </c>
      <c r="H35" s="14" t="s">
        <v>3</v>
      </c>
      <c r="I35" s="1"/>
    </row>
    <row r="36" spans="1:9" x14ac:dyDescent="0.25">
      <c r="A36" s="1"/>
      <c r="B36" s="141" t="s">
        <v>167</v>
      </c>
      <c r="C36" s="142"/>
      <c r="D36" s="142"/>
      <c r="E36" s="142"/>
      <c r="F36" s="143"/>
      <c r="G36" s="23">
        <v>0</v>
      </c>
      <c r="H36" s="14" t="s">
        <v>3</v>
      </c>
      <c r="I36" s="1"/>
    </row>
    <row r="37" spans="1:9" x14ac:dyDescent="0.25">
      <c r="A37" s="1"/>
      <c r="B37" s="141" t="s">
        <v>166</v>
      </c>
      <c r="C37" s="142"/>
      <c r="D37" s="142"/>
      <c r="E37" s="142"/>
      <c r="F37" s="143"/>
      <c r="G37" s="23">
        <f>(G35+G36)*'Fane 15. Nøgletal'!C25</f>
        <v>528379.66692115681</v>
      </c>
      <c r="H37" s="14" t="s">
        <v>3</v>
      </c>
      <c r="I37" s="1"/>
    </row>
    <row r="38" spans="1:9" x14ac:dyDescent="0.25">
      <c r="A38" s="1"/>
      <c r="B38" s="33"/>
      <c r="C38" s="28"/>
      <c r="D38" s="28"/>
      <c r="E38" s="28"/>
      <c r="F38" s="28"/>
      <c r="G38" s="28"/>
      <c r="H38" s="19"/>
      <c r="I38" s="1"/>
    </row>
    <row r="39" spans="1:9" x14ac:dyDescent="0.25">
      <c r="A39" s="1"/>
      <c r="B39" s="1"/>
      <c r="C39" s="1"/>
      <c r="D39" s="1"/>
      <c r="E39" s="1"/>
      <c r="F39" s="1"/>
      <c r="G39" s="1"/>
      <c r="H39" s="1"/>
      <c r="I39" s="1"/>
    </row>
    <row r="40" spans="1:9" x14ac:dyDescent="0.25">
      <c r="A40" s="1"/>
      <c r="B40" s="136" t="s">
        <v>222</v>
      </c>
      <c r="C40" s="137"/>
      <c r="D40" s="137"/>
      <c r="E40" s="137"/>
      <c r="F40" s="137"/>
      <c r="G40" s="137"/>
      <c r="H40" s="138"/>
      <c r="I40" s="1"/>
    </row>
    <row r="41" spans="1:9" x14ac:dyDescent="0.25">
      <c r="A41" s="1"/>
      <c r="B41" s="141" t="s">
        <v>77</v>
      </c>
      <c r="C41" s="142"/>
      <c r="D41" s="142"/>
      <c r="E41" s="142"/>
      <c r="F41" s="143"/>
      <c r="G41" s="23">
        <f>(G35+G36-G37)*(1+'Fane 15. Nøgletal'!C14)</f>
        <v>35289019.911394</v>
      </c>
      <c r="H41" s="14" t="s">
        <v>3</v>
      </c>
      <c r="I41" s="1"/>
    </row>
    <row r="42" spans="1:9" x14ac:dyDescent="0.25">
      <c r="A42" s="1"/>
      <c r="B42" s="44" t="s">
        <v>230</v>
      </c>
      <c r="C42" s="90"/>
      <c r="D42" s="90"/>
      <c r="E42" s="90"/>
      <c r="F42" s="91"/>
      <c r="G42" s="49">
        <f>('Fane 2.1. Økonomisk ramme 2023'!C11+'Fane 2.1. Økonomisk ramme 2023'!C13+'Fane 2.1. Økonomisk ramme 2023'!C15)*(1+'Fane 15. Nøgletal'!C15)</f>
        <v>1023621.8340888002</v>
      </c>
      <c r="H42" s="14" t="s">
        <v>3</v>
      </c>
      <c r="I42" s="1"/>
    </row>
    <row r="43" spans="1:9" x14ac:dyDescent="0.25">
      <c r="A43" s="1"/>
      <c r="B43" s="141" t="s">
        <v>168</v>
      </c>
      <c r="C43" s="142"/>
      <c r="D43" s="142"/>
      <c r="E43" s="142"/>
      <c r="F43" s="143"/>
      <c r="G43" s="23">
        <f>(G41)*'Fane 15. Nøgletal'!C25+G42*'Fane 15. Nøgletal'!C26</f>
        <v>522277.49468863121</v>
      </c>
      <c r="H43" s="14" t="s">
        <v>3</v>
      </c>
      <c r="I43" s="1"/>
    </row>
    <row r="44" spans="1:9" x14ac:dyDescent="0.25">
      <c r="A44" s="1"/>
      <c r="B44" s="33"/>
      <c r="C44" s="28"/>
      <c r="D44" s="28"/>
      <c r="E44" s="28"/>
      <c r="F44" s="28"/>
      <c r="G44" s="28"/>
      <c r="H44" s="19"/>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
      <c r="C51" s="1"/>
      <c r="D51" s="1"/>
      <c r="E51" s="1"/>
      <c r="F51" s="1"/>
      <c r="G51" s="1"/>
      <c r="H51" s="1"/>
      <c r="I51" s="1"/>
    </row>
    <row r="52" spans="1:9" x14ac:dyDescent="0.25">
      <c r="A52" s="1"/>
      <c r="B52" s="136" t="s">
        <v>243</v>
      </c>
      <c r="C52" s="137"/>
      <c r="D52" s="137"/>
      <c r="E52" s="137"/>
      <c r="F52" s="137"/>
      <c r="G52" s="137"/>
      <c r="H52" s="138"/>
      <c r="I52" s="1"/>
    </row>
    <row r="53" spans="1:9" x14ac:dyDescent="0.25">
      <c r="A53" s="1"/>
      <c r="B53" s="141" t="s">
        <v>140</v>
      </c>
      <c r="C53" s="142"/>
      <c r="D53" s="142"/>
      <c r="E53" s="142"/>
      <c r="F53" s="143"/>
      <c r="G53" s="23">
        <f>(G41+G42-G43)*(1+'Fane 15. Nøgletal'!C15)</f>
        <v>37064501.218122445</v>
      </c>
      <c r="H53" s="14" t="s">
        <v>3</v>
      </c>
      <c r="I53" s="1"/>
    </row>
    <row r="54" spans="1:9" x14ac:dyDescent="0.25">
      <c r="A54" s="1"/>
      <c r="B54" s="141" t="s">
        <v>141</v>
      </c>
      <c r="C54" s="142"/>
      <c r="D54" s="142"/>
      <c r="E54" s="142"/>
      <c r="F54" s="143"/>
      <c r="G54" s="23">
        <f>(G53)*'Fane 15. Nøgletal'!C26</f>
        <v>0</v>
      </c>
      <c r="H54" s="14" t="s">
        <v>3</v>
      </c>
      <c r="I54" s="1"/>
    </row>
    <row r="55" spans="1:9" x14ac:dyDescent="0.25">
      <c r="A55" s="1"/>
      <c r="B55" s="33"/>
      <c r="C55" s="28"/>
      <c r="D55" s="28"/>
      <c r="E55" s="28"/>
      <c r="F55" s="28"/>
      <c r="G55" s="28"/>
      <c r="H55" s="19"/>
      <c r="I55" s="1"/>
    </row>
    <row r="56" spans="1:9" x14ac:dyDescent="0.25">
      <c r="A56" s="1"/>
      <c r="B56" s="1"/>
      <c r="C56" s="1"/>
      <c r="D56" s="1"/>
      <c r="E56" s="1"/>
      <c r="F56" s="1"/>
      <c r="G56" s="1"/>
      <c r="H56" s="1"/>
      <c r="I56" s="1"/>
    </row>
    <row r="57" spans="1:9" x14ac:dyDescent="0.25">
      <c r="A57" s="1"/>
      <c r="B57" s="136" t="s">
        <v>153</v>
      </c>
      <c r="C57" s="137"/>
      <c r="D57" s="137"/>
      <c r="E57" s="137"/>
      <c r="F57" s="137"/>
      <c r="G57" s="137"/>
      <c r="H57" s="138"/>
      <c r="I57" s="1"/>
    </row>
    <row r="58" spans="1:9" x14ac:dyDescent="0.25">
      <c r="A58" s="1"/>
      <c r="B58" s="141" t="s">
        <v>173</v>
      </c>
      <c r="C58" s="142"/>
      <c r="D58" s="142"/>
      <c r="E58" s="142"/>
      <c r="F58" s="143"/>
      <c r="G58" s="23">
        <f>(G53-G54)*(1+'Fane 15. Nøgletal'!C15)</f>
        <v>38383997.461487606</v>
      </c>
      <c r="H58" s="14" t="s">
        <v>3</v>
      </c>
      <c r="I58" s="1"/>
    </row>
    <row r="59" spans="1:9" x14ac:dyDescent="0.25">
      <c r="A59" s="1"/>
      <c r="B59" s="141" t="s">
        <v>174</v>
      </c>
      <c r="C59" s="142"/>
      <c r="D59" s="142"/>
      <c r="E59" s="142"/>
      <c r="F59" s="143"/>
      <c r="G59" s="23">
        <f>(G58)*'Fane 15. Nøgletal'!C26</f>
        <v>0</v>
      </c>
      <c r="H59" s="14" t="s">
        <v>3</v>
      </c>
      <c r="I59" s="1"/>
    </row>
    <row r="60" spans="1:9" x14ac:dyDescent="0.25">
      <c r="A60" s="1"/>
      <c r="B60" s="33"/>
      <c r="C60" s="28"/>
      <c r="D60" s="28"/>
      <c r="E60" s="28"/>
      <c r="F60" s="28"/>
      <c r="G60" s="28"/>
      <c r="H60" s="19"/>
      <c r="I60" s="1"/>
    </row>
    <row r="61" spans="1:9" x14ac:dyDescent="0.25">
      <c r="A61" s="1"/>
      <c r="B61" s="1"/>
      <c r="C61" s="1"/>
      <c r="D61" s="1"/>
      <c r="E61" s="1"/>
      <c r="F61" s="1"/>
      <c r="G61" s="1"/>
      <c r="H61" s="1"/>
      <c r="I61" s="1"/>
    </row>
    <row r="62" spans="1:9" x14ac:dyDescent="0.25">
      <c r="A62" s="1"/>
      <c r="B62" s="136" t="s">
        <v>196</v>
      </c>
      <c r="C62" s="137"/>
      <c r="D62" s="137"/>
      <c r="E62" s="137"/>
      <c r="F62" s="137"/>
      <c r="G62" s="137"/>
      <c r="H62" s="138"/>
      <c r="I62" s="1"/>
    </row>
    <row r="63" spans="1:9" x14ac:dyDescent="0.25">
      <c r="A63" s="1"/>
      <c r="B63" s="141" t="s">
        <v>197</v>
      </c>
      <c r="C63" s="142"/>
      <c r="D63" s="142"/>
      <c r="E63" s="142"/>
      <c r="F63" s="143"/>
      <c r="G63" s="23">
        <f>(G58-G59)*(1+'Fane 15. Nøgletal'!C15)</f>
        <v>39750467.77111657</v>
      </c>
      <c r="H63" s="14" t="s">
        <v>3</v>
      </c>
      <c r="I63" s="1"/>
    </row>
    <row r="64" spans="1:9" x14ac:dyDescent="0.25">
      <c r="A64" s="1"/>
      <c r="B64" s="141" t="s">
        <v>198</v>
      </c>
      <c r="C64" s="142"/>
      <c r="D64" s="142"/>
      <c r="E64" s="142"/>
      <c r="F64" s="143"/>
      <c r="G64" s="23">
        <f>(G63)*'Fane 15. Nøgletal'!C26</f>
        <v>0</v>
      </c>
      <c r="H64" s="14" t="s">
        <v>3</v>
      </c>
      <c r="I64" s="1"/>
    </row>
    <row r="65" spans="1:9" x14ac:dyDescent="0.25">
      <c r="A65" s="1"/>
      <c r="B65" s="33"/>
      <c r="C65" s="28"/>
      <c r="D65" s="28"/>
      <c r="E65" s="28"/>
      <c r="F65" s="28"/>
      <c r="G65" s="28"/>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sheetData>
  <sheetProtection algorithmName="SHA-512" hashValue="yGtV/gp0Hldk38SDLVchDsjkUOEFDCzmt9e20xaclaAgOFO+JyvFc5UAchWlAjzJt4EQnGRAqpcfYpu5vaXAGA==" saltValue="Sf0gGEL/MfX8CL9kfJlfUg==" spinCount="100000" sheet="1" objects="1" scenarios="1"/>
  <mergeCells count="37">
    <mergeCell ref="B62:H62"/>
    <mergeCell ref="B63:F63"/>
    <mergeCell ref="B64:F64"/>
    <mergeCell ref="B1:H3"/>
    <mergeCell ref="B52:H52"/>
    <mergeCell ref="B53:F53"/>
    <mergeCell ref="B54:F54"/>
    <mergeCell ref="B35:F35"/>
    <mergeCell ref="B43:F43"/>
    <mergeCell ref="B19:F19"/>
    <mergeCell ref="B4:H4"/>
    <mergeCell ref="B5:F5"/>
    <mergeCell ref="B6:F6"/>
    <mergeCell ref="B9:H9"/>
    <mergeCell ref="B11:F11"/>
    <mergeCell ref="B23:F23"/>
    <mergeCell ref="B10:F10"/>
    <mergeCell ref="B12:F12"/>
    <mergeCell ref="B13:F13"/>
    <mergeCell ref="B16:H16"/>
    <mergeCell ref="B17:F17"/>
    <mergeCell ref="B31:F31"/>
    <mergeCell ref="B34:H34"/>
    <mergeCell ref="B36:F36"/>
    <mergeCell ref="B24:F24"/>
    <mergeCell ref="B25:F25"/>
    <mergeCell ref="B18:F18"/>
    <mergeCell ref="B30:F30"/>
    <mergeCell ref="B22:H22"/>
    <mergeCell ref="B28:H28"/>
    <mergeCell ref="B29:F29"/>
    <mergeCell ref="B57:H57"/>
    <mergeCell ref="B58:F58"/>
    <mergeCell ref="B59:F59"/>
    <mergeCell ref="B41:F41"/>
    <mergeCell ref="B37:F37"/>
    <mergeCell ref="B40:H4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H45"/>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24" t="s">
        <v>88</v>
      </c>
      <c r="C3" s="124"/>
      <c r="D3" s="124"/>
      <c r="E3" s="124"/>
      <c r="F3" s="124"/>
      <c r="G3" s="124"/>
      <c r="H3" s="1"/>
    </row>
    <row r="4" spans="1:8" ht="15" customHeight="1" x14ac:dyDescent="0.25">
      <c r="A4" s="1"/>
      <c r="B4" s="124"/>
      <c r="C4" s="124"/>
      <c r="D4" s="124"/>
      <c r="E4" s="124"/>
      <c r="F4" s="124"/>
      <c r="G4" s="124"/>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36" t="s">
        <v>10</v>
      </c>
      <c r="C8" s="137"/>
      <c r="D8" s="137"/>
      <c r="E8" s="137"/>
      <c r="F8" s="137"/>
      <c r="G8" s="138"/>
      <c r="H8" s="1"/>
    </row>
    <row r="9" spans="1:8" x14ac:dyDescent="0.25">
      <c r="A9" s="1"/>
      <c r="B9" s="141" t="s">
        <v>154</v>
      </c>
      <c r="C9" s="142"/>
      <c r="D9" s="142"/>
      <c r="E9" s="142"/>
      <c r="F9" s="143"/>
      <c r="G9" s="36">
        <v>4.5421548521326254E-3</v>
      </c>
      <c r="H9" s="1"/>
    </row>
    <row r="10" spans="1:8" x14ac:dyDescent="0.25">
      <c r="A10" s="1"/>
      <c r="B10" s="33"/>
      <c r="C10" s="28"/>
      <c r="D10" s="28"/>
      <c r="E10" s="28"/>
      <c r="F10" s="28"/>
      <c r="G10" s="19"/>
      <c r="H10" s="1"/>
    </row>
    <row r="11" spans="1:8" ht="29.25" customHeight="1" x14ac:dyDescent="0.25">
      <c r="A11" s="1"/>
      <c r="B11" s="152" t="s">
        <v>237</v>
      </c>
      <c r="C11" s="153"/>
      <c r="D11" s="153"/>
      <c r="E11" s="153"/>
      <c r="F11" s="153"/>
      <c r="G11" s="154"/>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sheetData>
  <sheetProtection algorithmName="SHA-512" hashValue="cZuEO+u2pmjWYT9WftDxhC/32WmJryavOWlAHmLph6nj9psFvUghrd0eGEG5NZYYH9Ii93nLc+bYXjf2K+QJNg==" saltValue="L/B76iLl6ET8owzbZU10FQ=="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20</vt:i4>
      </vt:variant>
    </vt:vector>
  </HeadingPairs>
  <TitlesOfParts>
    <vt:vector size="20" baseType="lpstr">
      <vt:lpstr>1. Forside</vt:lpstr>
      <vt:lpstr>Fane 2.1. Økonomisk ramme 2023</vt:lpstr>
      <vt:lpstr>Fane 2.2. Økonomisk ramme 2024</vt:lpstr>
      <vt:lpstr>Fane 2.3. Økonomisk ramme 2025</vt:lpstr>
      <vt:lpstr>Fane 2.4. Økonomisk ramme 2026</vt:lpstr>
      <vt:lpstr>Fane 3. Omkostninger i ØR2022</vt:lpstr>
      <vt:lpstr>Fane 4.1. Gen. krav - drift</vt:lpstr>
      <vt:lpstr>Fane 4.2. Gen. krav - anlæg</vt:lpstr>
      <vt:lpstr>Fane 5. Individuelt eff. krav</vt:lpstr>
      <vt:lpstr>Fane 6. Ikke-påvirkelige omk.</vt:lpstr>
      <vt:lpstr>Fane 7. Kontrol af ØR2021</vt:lpstr>
      <vt:lpstr>Fane 8. Skattesagen</vt:lpstr>
      <vt:lpstr>Fane 9. Korrektion af ØR2021</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Wouter Cuyvers</cp:lastModifiedBy>
  <cp:lastPrinted>2016-06-14T12:57:30Z</cp:lastPrinted>
  <dcterms:created xsi:type="dcterms:W3CDTF">2016-06-02T08:51:18Z</dcterms:created>
  <dcterms:modified xsi:type="dcterms:W3CDTF">2022-12-06T11:20:43Z</dcterms:modified>
</cp:coreProperties>
</file>