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TK Vand AS (V098)\ØR2024\"/>
    </mc:Choice>
  </mc:AlternateContent>
  <xr:revisionPtr revIDLastSave="0" documentId="13_ncr:1_{0CD0D1F0-9530-4580-B892-D8C3DCA0661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28" i="37" s="1"/>
  <c r="E29" i="37" s="1"/>
  <c r="C10" i="37"/>
  <c r="C28" i="37" s="1"/>
  <c r="C29" i="37" s="1"/>
  <c r="G6" i="30" l="1"/>
  <c r="C23" i="2" l="1"/>
  <c r="C25" i="2" s="1"/>
  <c r="G10" i="30" l="1"/>
  <c r="G12" i="30" s="1"/>
  <c r="C10" i="2" l="1"/>
  <c r="E13" i="21"/>
  <c r="E14" i="21" s="1"/>
  <c r="C13" i="21"/>
  <c r="C14" i="21" s="1"/>
  <c r="C11" i="2" l="1"/>
  <c r="C12" i="2"/>
  <c r="G48" i="36" s="1"/>
  <c r="C24" i="2" l="1"/>
  <c r="C26" i="2" s="1"/>
  <c r="G6" i="36" l="1"/>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<sst xmlns="http://schemas.openxmlformats.org/spreadsheetml/2006/main" count="590" uniqueCount="280">
  <si>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</si>
  <si>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</si>
  <si>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</si>
  <si>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</si>
  <si>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</si>
  <si>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</si>
  <si>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</si>
  <si>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</si>
  <si>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</si>
  <si>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</si>
  <si>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</si>
  <si>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</si>
  <si>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</si>
  <si>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</si>
  <si>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</si>
  <si>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</si>
  <si>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</si>
  <si>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</si>
  <si>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</si>
  <si>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</si>
  <si>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</si>
  <si>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</si>
  <si>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</si>
  <si>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</si>
  <si>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</si>
  <si>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</si>
  <si>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</si>
  <si>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</si>
  <si>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</si>
  <si>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</si>
  <si>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</si>
  <si>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</si>
  <si>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</si>
  <si>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</si>
  <si>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</si>
  <si>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</si>
  <si>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</si>
  <si>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</si>
  <si>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</si>
  <si>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</si>
  <si>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</si>
  <si>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</si>
  <si>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</si>
  <si>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</si>
  <si>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</si>
  <si>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</si>
  <si>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</si>
  <si>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</si>
  <si>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</si>
  <si>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</si>
  <si>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</si>
  <si>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</si>
  <si>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</si>
  <si>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</si>
  <si>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</si>
  <si>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</si>
  <si>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</si>
  <si>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</si>
  <si>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</si>
  <si>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</si>
  <si>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</si>
  <si>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</si>
  <si>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</si>
  <si>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</si>
  <si>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</si>
  <si>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</si>
  <si>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</si>
  <si>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</si>
  <si>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</si>
  <si>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</si>
  <si>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</si>
  <si>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</si>
  <si>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</si>
  <si>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</si>
  <si>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</si>
  <si>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</si>
  <si>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</si>
  <si>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</si>
  <si>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</si>
  <si>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</si>
  <si>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</si>
  <si>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</si>
  <si>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</si>
  <si>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</si>
  <si>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</si>
  <si>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</si>
  <si>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</si>
  <si>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</si>
  <si>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</si>
  <si>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</si>
  <si>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</si>
  <si>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</si>
  <si>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</si>
  <si>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</si>
  <si>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</si>
  <si>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</si>
  <si>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</si>
  <si>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</si>
  <si>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</si>
  <si>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</si>
  <si>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</si>
  <si>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</si>
  <si>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</si>
  <si>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</si>
  <si>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</si>
  <si>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</si>
  <si>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</si>
  <si>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</si>
  <si>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</si>
  <si>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</si>
  <si>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</si>
  <si>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</si>
  <si>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</si>
  <si>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</si>
  <si>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</si>
  <si>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</si>
  <si>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</si>
  <si>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</si>
  <si>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</si>
  <si>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</si>
  <si>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</si>
  <si>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</si>
  <si>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</si>
  <si>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</si>
  <si>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</si>
  <si>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</si>
  <si>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</si>
  <si>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</si>
  <si>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</si>
  <si>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</si>
  <si>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</si>
  <si>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</si>
  <si>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</si>
  <si>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</si>
  <si>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</si>
  <si>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</si>
  <si>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</si>
  <si>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</si>
  <si>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</si>
  <si>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</si>
  <si>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</si>
  <si>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</si>
  <si>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</si>
  <si>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</si>
  <si>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</si>
  <si>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</si>
  <si>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</si>
  <si>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</si>
  <si>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</si>
  <si>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</si>
  <si>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</si>
  <si>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</si>
  <si>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</si>
  <si>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</si>
  <si>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</si>
  <si>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</si>
  <si>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</si>
  <si>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</si>
  <si>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</si>
  <si>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</si>
  <si>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</si>
  <si>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</si>
  <si>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</si>
  <si>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</si>
  <si>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</si>
  <si>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</si>
  <si>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</si>
  <si>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</si>
  <si>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</si>
  <si>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</si>
  <si>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</si>
  <si>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</si>
  <si>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</si>
  <si>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</si>
  <si>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</si>
  <si>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</si>
  <si>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</si>
  <si>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</si>
  <si>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</si>
  <si>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</si>
  <si>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</si>
  <si>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</si>
  <si>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</si>
  <si>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</si>
  <si>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</si>
  <si>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</si>
  <si>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</si>
  <si>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</si>
  <si>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</si>
  <si>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</si>
  <si>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</si>
  <si>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</si>
  <si>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</si>
  <si>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</si>
  <si>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</si>
  <si>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</si>
  <si>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</si>
  <si>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</si>
  <si>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</si>
  <si>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</si>
  <si>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</si>
  <si>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</si>
  <si>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</si>
  <si>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</si>
  <si>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</si>
  <si>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</si>
  <si>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</si>
  <si>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</si>
  <si>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</si>
  <si>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</si>
  <si>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</si>
  <si>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</si>
  <si>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</si>
  <si>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</si>
  <si>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</si>
  <si>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</si>
  <si>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</si>
  <si>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</si>
  <si>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</si>
  <si>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</si>
  <si>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</si>
  <si>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</si>
  <si>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</si>
  <si>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</si>
  <si>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</si>
  <si>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</si>
  <si>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</si>
  <si>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</si>
  <si>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</si>
  <si>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</si>
  <si>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</si>
  <si>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</si>
  <si>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</si>
  <si>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</si>
  <si>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</si>
  <si>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</si>
  <si>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</si>
  <si>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</si>
  <si>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</si>
  <si>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</si>
  <si>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</si>
  <si>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</si>
  <si>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</si>
  <si>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</si>
  <si>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</si>
  <si>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</si>
  <si>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</si>
  <si>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</si>
  <si>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Opsætning af elektroniske målere</t>
  </si>
  <si>
    <t>Beredskabsvej og Cathrinebergvej mv.</t>
  </si>
  <si>
    <t>Blekinge Boulevards forlængelse</t>
  </si>
  <si>
    <t>Bornholms Alle</t>
  </si>
  <si>
    <t>Cikoriehaven</t>
  </si>
  <si>
    <t>Enghavegårdsvej</t>
  </si>
  <si>
    <t>Kirkestien 4</t>
  </si>
  <si>
    <t>NærHeden, etape 6</t>
  </si>
  <si>
    <t>REKA A09/A11/A14/A16</t>
  </si>
  <si>
    <t>Remisen (rækkehuse på Teglbakken)</t>
  </si>
  <si>
    <t>Rømershøj Vandværk</t>
  </si>
  <si>
    <t>Svanegade 2-36 (NH3)</t>
  </si>
  <si>
    <t>Søgræsgade (stamvej)</t>
  </si>
  <si>
    <t>Søgræsgade 2-152 (NH2A)</t>
  </si>
  <si>
    <t>Tilslutning af enkeltejendomme</t>
  </si>
  <si>
    <t>Vindmøllegrunden, IKEA</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</si>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</sst>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jPeB5KCw8wkmyqRNrkH9bSbEooX+n7iIMoDyPTog40DFIg06MIjFnXwZZm66pWYAja+LpGZwb2GBk7LBNdfkHw==" saltValue="gna+rHszs1Cfajwckf/Q6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16967240</v>
      </c>
      <c r="D10" s="14" t="s">
        <v>3</v>
      </c>
      <c r="E10" s="1"/>
      <c r="F10" s="1"/>
    </row>
    <row r="11" spans="1:6" x14ac:dyDescent="0.25">
      <c r="A11" s="1"/>
      <c r="B11" s="71" t="s">
        <v>244</v>
      </c>
      <c r="C11" s="9">
        <v>103824</v>
      </c>
      <c r="D11" s="14" t="s">
        <v>3</v>
      </c>
      <c r="E11" s="1"/>
      <c r="F11" s="1"/>
    </row>
    <row r="12" spans="1:6" ht="26.25" x14ac:dyDescent="0.25">
      <c r="A12" s="1"/>
      <c r="B12" s="54" t="s">
        <v>245</v>
      </c>
      <c r="C12" s="9">
        <v>6090259.7999999998</v>
      </c>
      <c r="D12" s="14" t="s">
        <v>3</v>
      </c>
      <c r="E12" s="1"/>
      <c r="F12" s="1"/>
    </row>
    <row r="13" spans="1:6" x14ac:dyDescent="0.25">
      <c r="A13" s="1"/>
      <c r="B13" s="71" t="s">
        <v>246</v>
      </c>
      <c r="C13" s="9">
        <v>10687.35</v>
      </c>
      <c r="D13" s="14" t="s">
        <v>3</v>
      </c>
      <c r="E13" s="1"/>
      <c r="F13" s="1"/>
    </row>
    <row r="14" spans="1:6" x14ac:dyDescent="0.25">
      <c r="A14" s="1"/>
      <c r="B14" s="71" t="s">
        <v>247</v>
      </c>
      <c r="C14" s="9">
        <v>419584.68</v>
      </c>
      <c r="D14" s="14" t="s">
        <v>3</v>
      </c>
      <c r="E14" s="1"/>
      <c r="F14" s="1"/>
    </row>
    <row r="15" spans="1:6" x14ac:dyDescent="0.25">
      <c r="A15" s="1"/>
      <c r="B15" s="71"/>
      <c r="C15" s="9"/>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1" t="s">
        <v>213</v>
      </c>
      <c r="C19" s="12">
        <f>SUM(C10:C18)</f>
        <v>23591595.830000002</v>
      </c>
      <c r="D19" s="13" t="s">
        <v>3</v>
      </c>
      <c r="E19" s="1"/>
      <c r="F19" s="1"/>
    </row>
    <row r="20" spans="1:6" x14ac:dyDescent="0.25">
      <c r="A20" s="1"/>
      <c r="B20" s="51" t="s">
        <v>214</v>
      </c>
      <c r="C20" s="12">
        <f>C19*(1+'Fane 13. Nøgletal'!C16)^2</f>
        <v>27558018.752327573</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TDTjZ+Ctwf6u7CxuFycL1QTpDpIp5uOfdcxBFvUNkdmUsGl/mgXhvW8KpT9g9/mZ9qA6kY3Kky6/nrUKemvAgg==" saltValue="mIQ51YwInPYsnYliYccZv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EC75-BE29-4AB1-814E-1270BC418A8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7" t="s">
        <v>265</v>
      </c>
      <c r="C8" s="108"/>
      <c r="D8" s="108"/>
      <c r="E8" s="108"/>
      <c r="F8" s="109"/>
      <c r="G8" s="1"/>
    </row>
    <row r="9" spans="1:7" x14ac:dyDescent="0.25">
      <c r="A9" s="1"/>
      <c r="B9" s="101" t="s">
        <v>266</v>
      </c>
      <c r="C9" s="102"/>
      <c r="D9" s="103"/>
      <c r="E9" s="28">
        <v>1021602</v>
      </c>
      <c r="F9" s="14" t="s">
        <v>3</v>
      </c>
      <c r="G9" s="1"/>
    </row>
    <row r="10" spans="1:7" x14ac:dyDescent="0.25">
      <c r="A10" s="1"/>
      <c r="B10" s="51"/>
      <c r="C10" s="52"/>
      <c r="D10" s="52"/>
      <c r="E10" s="52"/>
      <c r="F10" s="19"/>
      <c r="G10" s="1"/>
    </row>
    <row r="11" spans="1:7" ht="53.25" customHeight="1" x14ac:dyDescent="0.25">
      <c r="A11" s="1"/>
      <c r="B11" s="119" t="s">
        <v>267</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268</v>
      </c>
      <c r="C14" s="102"/>
      <c r="D14" s="103"/>
      <c r="E14" s="9">
        <v>0</v>
      </c>
      <c r="F14" s="14" t="s">
        <v>3</v>
      </c>
      <c r="G14" s="1"/>
    </row>
    <row r="15" spans="1:7" x14ac:dyDescent="0.25">
      <c r="A15" s="1"/>
      <c r="B15" s="101" t="s">
        <v>269</v>
      </c>
      <c r="C15" s="102"/>
      <c r="D15" s="103"/>
      <c r="E15" s="9">
        <v>0</v>
      </c>
      <c r="F15" s="14" t="s">
        <v>3</v>
      </c>
      <c r="G15" s="1"/>
    </row>
    <row r="16" spans="1:7" x14ac:dyDescent="0.25">
      <c r="A16" s="1"/>
      <c r="B16" s="51"/>
      <c r="C16" s="52"/>
      <c r="D16" s="52"/>
      <c r="E16" s="52"/>
      <c r="F16" s="19"/>
      <c r="G16" s="1"/>
    </row>
    <row r="17" spans="1:7" ht="32.25" customHeight="1" x14ac:dyDescent="0.25">
      <c r="A17" s="1"/>
      <c r="B17" s="119" t="s">
        <v>270</v>
      </c>
      <c r="C17" s="120"/>
      <c r="D17" s="120"/>
      <c r="E17" s="120"/>
      <c r="F17" s="121"/>
      <c r="G17" s="1"/>
    </row>
    <row r="18" spans="1:7" x14ac:dyDescent="0.25">
      <c r="A18" s="1"/>
      <c r="B18" s="1"/>
      <c r="C18" s="1"/>
      <c r="D18" s="1"/>
      <c r="E18" s="1"/>
      <c r="F18" s="1"/>
      <c r="G18" s="1"/>
    </row>
    <row r="19" spans="1:7" x14ac:dyDescent="0.25">
      <c r="A19" s="1"/>
      <c r="B19" s="65" t="s">
        <v>271</v>
      </c>
      <c r="C19" s="66"/>
      <c r="D19" s="66"/>
      <c r="E19" s="66"/>
      <c r="F19" s="67"/>
      <c r="G19" s="1"/>
    </row>
    <row r="20" spans="1:7" x14ac:dyDescent="0.25">
      <c r="A20" s="1"/>
      <c r="B20" s="68" t="s">
        <v>272</v>
      </c>
      <c r="C20" s="69"/>
      <c r="D20" s="70"/>
      <c r="E20" s="9">
        <v>33161594</v>
      </c>
      <c r="F20" s="14" t="s">
        <v>3</v>
      </c>
      <c r="G20" s="1"/>
    </row>
    <row r="21" spans="1:7" x14ac:dyDescent="0.25">
      <c r="A21" s="1"/>
      <c r="B21" s="68" t="s">
        <v>273</v>
      </c>
      <c r="C21" s="69"/>
      <c r="D21" s="70"/>
      <c r="E21" s="9">
        <v>39703934</v>
      </c>
      <c r="F21" s="14" t="s">
        <v>3</v>
      </c>
      <c r="G21" s="1"/>
    </row>
    <row r="22" spans="1:7" x14ac:dyDescent="0.25">
      <c r="A22" s="1"/>
      <c r="B22" s="68" t="s">
        <v>29</v>
      </c>
      <c r="C22" s="69"/>
      <c r="D22" s="70"/>
      <c r="E22" s="9">
        <v>0</v>
      </c>
      <c r="F22" s="14" t="s">
        <v>3</v>
      </c>
      <c r="G22" s="1"/>
    </row>
    <row r="23" spans="1:7" x14ac:dyDescent="0.25">
      <c r="A23" s="1"/>
      <c r="B23" s="73" t="s">
        <v>274</v>
      </c>
      <c r="C23" s="74"/>
      <c r="D23" s="75"/>
      <c r="E23" s="10">
        <f>E20-(E21-E22)</f>
        <v>-6542340</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7" t="s">
        <v>275</v>
      </c>
      <c r="C26" s="108"/>
      <c r="D26" s="108"/>
      <c r="E26" s="108"/>
      <c r="F26" s="109"/>
      <c r="G26" s="1"/>
    </row>
    <row r="27" spans="1:7" x14ac:dyDescent="0.25">
      <c r="A27" s="1"/>
      <c r="B27" s="129" t="s">
        <v>276</v>
      </c>
      <c r="C27" s="130"/>
      <c r="D27" s="131"/>
      <c r="E27" s="61">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277</v>
      </c>
      <c r="C30" s="108"/>
      <c r="D30" s="108"/>
      <c r="E30" s="108"/>
      <c r="F30" s="109"/>
      <c r="G30" s="1"/>
    </row>
    <row r="31" spans="1:7" x14ac:dyDescent="0.25">
      <c r="A31" s="1"/>
      <c r="B31" s="122" t="s">
        <v>117</v>
      </c>
      <c r="C31" s="123"/>
      <c r="D31" s="124"/>
      <c r="E31" s="62">
        <f>IF(AND(E9&gt;0,(E9+E23)&gt;0),0,IF(AND(E9&gt;0,(E9+E23)&lt;0),(E9+E23),IF(AND(E9&lt;0,E23&lt;0),E23,0)))</f>
        <v>-5520738</v>
      </c>
      <c r="F31" s="14" t="s">
        <v>3</v>
      </c>
      <c r="G31" s="1"/>
    </row>
    <row r="32" spans="1:7" x14ac:dyDescent="0.25">
      <c r="A32" s="1"/>
      <c r="B32" s="122" t="s">
        <v>85</v>
      </c>
      <c r="C32" s="123"/>
      <c r="D32" s="124"/>
      <c r="E32" s="9">
        <v>2</v>
      </c>
      <c r="F32" s="14" t="s">
        <v>18</v>
      </c>
      <c r="G32" s="1"/>
    </row>
    <row r="33" spans="1:7" x14ac:dyDescent="0.25">
      <c r="A33" s="1"/>
      <c r="B33" s="125" t="s">
        <v>116</v>
      </c>
      <c r="C33" s="125"/>
      <c r="D33" s="125"/>
      <c r="E33" s="61">
        <f>E31/E32</f>
        <v>-2760369</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DboSsd/x9eWJPQcusbvS9A0+pA/be/ylyVbpO1/VSIJizYZuvVrjDVb6LdL3SJgywCCevzoa8ty5V0fc1E2/Q==" saltValue="ZVzRefzCUUmSOKGI7poy2A=="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6jjopJv3iCMQnOysBwAwgvwRvYJjFBcOaQNhuGlfkm9iMhc9nrLNYDe3rNrrbtZxZt50j5vnwU4tgVbvFCO0A==" saltValue="lgY1rDW+2ooRzVSBYwj1L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oSVbPOb3bo6vbZQdWY0r6V40wi1dYCKzRjfeJc5qjudm4+6MhMH+PcBZ9T+/dnbAYN/262adLndJ850nhCPnQQ==" saltValue="pSu/RWJdiCNGIDb2Vj7oE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248</v>
      </c>
      <c r="C11" s="21">
        <v>269286</v>
      </c>
      <c r="D11" s="14" t="s">
        <v>3</v>
      </c>
      <c r="E11" s="9">
        <v>259207</v>
      </c>
      <c r="F11" s="14" t="s">
        <v>3</v>
      </c>
      <c r="G11" s="1"/>
    </row>
    <row r="12" spans="1:7" x14ac:dyDescent="0.25">
      <c r="A12" s="1"/>
      <c r="B12" s="27" t="s">
        <v>249</v>
      </c>
      <c r="C12" s="21">
        <v>86715</v>
      </c>
      <c r="D12" s="14" t="s">
        <v>3</v>
      </c>
      <c r="E12" s="9">
        <v>46638</v>
      </c>
      <c r="F12" s="14" t="s">
        <v>3</v>
      </c>
      <c r="G12" s="1"/>
    </row>
    <row r="13" spans="1:7" x14ac:dyDescent="0.25">
      <c r="A13" s="1"/>
      <c r="B13" s="27" t="s">
        <v>250</v>
      </c>
      <c r="C13" s="21">
        <v>20543</v>
      </c>
      <c r="D13" s="14" t="s">
        <v>3</v>
      </c>
      <c r="E13" s="9">
        <v>6618</v>
      </c>
      <c r="F13" s="14" t="s">
        <v>3</v>
      </c>
      <c r="G13" s="1"/>
    </row>
    <row r="14" spans="1:7" x14ac:dyDescent="0.25">
      <c r="A14" s="1"/>
      <c r="B14" s="27" t="s">
        <v>251</v>
      </c>
      <c r="C14" s="21">
        <v>0</v>
      </c>
      <c r="D14" s="14" t="s">
        <v>3</v>
      </c>
      <c r="E14" s="9">
        <v>3416</v>
      </c>
      <c r="F14" s="14" t="s">
        <v>3</v>
      </c>
      <c r="G14" s="1"/>
    </row>
    <row r="15" spans="1:7" x14ac:dyDescent="0.25">
      <c r="A15" s="1"/>
      <c r="B15" s="27" t="s">
        <v>252</v>
      </c>
      <c r="C15" s="21">
        <v>14741</v>
      </c>
      <c r="D15" s="14" t="s">
        <v>3</v>
      </c>
      <c r="E15" s="9">
        <v>3414</v>
      </c>
      <c r="F15" s="14" t="s">
        <v>3</v>
      </c>
      <c r="G15" s="1"/>
    </row>
    <row r="16" spans="1:7" x14ac:dyDescent="0.25">
      <c r="A16" s="1"/>
      <c r="B16" s="27" t="s">
        <v>253</v>
      </c>
      <c r="C16" s="21">
        <v>0</v>
      </c>
      <c r="D16" s="14" t="s">
        <v>3</v>
      </c>
      <c r="E16" s="9">
        <v>999</v>
      </c>
      <c r="F16" s="14" t="s">
        <v>3</v>
      </c>
      <c r="G16" s="1"/>
    </row>
    <row r="17" spans="1:7" x14ac:dyDescent="0.25">
      <c r="A17" s="1"/>
      <c r="B17" s="27" t="s">
        <v>254</v>
      </c>
      <c r="C17" s="21">
        <v>0</v>
      </c>
      <c r="D17" s="14" t="s">
        <v>3</v>
      </c>
      <c r="E17" s="9">
        <v>65</v>
      </c>
      <c r="F17" s="14" t="s">
        <v>3</v>
      </c>
      <c r="G17" s="1"/>
    </row>
    <row r="18" spans="1:7" x14ac:dyDescent="0.25">
      <c r="A18" s="1"/>
      <c r="B18" s="27" t="s">
        <v>255</v>
      </c>
      <c r="C18" s="21">
        <v>0</v>
      </c>
      <c r="D18" s="14" t="s">
        <v>3</v>
      </c>
      <c r="E18" s="9">
        <v>13</v>
      </c>
      <c r="F18" s="14" t="s">
        <v>3</v>
      </c>
      <c r="G18" s="1"/>
    </row>
    <row r="19" spans="1:7" x14ac:dyDescent="0.25">
      <c r="A19" s="1"/>
      <c r="B19" s="27" t="s">
        <v>256</v>
      </c>
      <c r="C19" s="21">
        <v>3468</v>
      </c>
      <c r="D19" s="14" t="s">
        <v>3</v>
      </c>
      <c r="E19" s="9">
        <v>1355</v>
      </c>
      <c r="F19" s="14" t="s">
        <v>3</v>
      </c>
      <c r="G19" s="1"/>
    </row>
    <row r="20" spans="1:7" x14ac:dyDescent="0.25">
      <c r="A20" s="1"/>
      <c r="B20" s="27" t="s">
        <v>257</v>
      </c>
      <c r="C20" s="21">
        <v>22545</v>
      </c>
      <c r="D20" s="14" t="s">
        <v>3</v>
      </c>
      <c r="E20" s="9">
        <v>4675</v>
      </c>
      <c r="F20" s="14" t="s">
        <v>3</v>
      </c>
      <c r="G20" s="1"/>
    </row>
    <row r="21" spans="1:7" x14ac:dyDescent="0.25">
      <c r="A21" s="1"/>
      <c r="B21" s="27" t="s">
        <v>258</v>
      </c>
      <c r="C21" s="21">
        <v>0</v>
      </c>
      <c r="D21" s="14" t="s">
        <v>3</v>
      </c>
      <c r="E21" s="9">
        <v>60</v>
      </c>
      <c r="F21" s="14" t="s">
        <v>3</v>
      </c>
      <c r="G21" s="1"/>
    </row>
    <row r="22" spans="1:7" x14ac:dyDescent="0.25">
      <c r="A22" s="1"/>
      <c r="B22" s="27" t="s">
        <v>259</v>
      </c>
      <c r="C22" s="21">
        <v>1318</v>
      </c>
      <c r="D22" s="14" t="s">
        <v>3</v>
      </c>
      <c r="E22" s="9">
        <v>1596</v>
      </c>
      <c r="F22" s="14" t="s">
        <v>3</v>
      </c>
      <c r="G22" s="1"/>
    </row>
    <row r="23" spans="1:7" x14ac:dyDescent="0.25">
      <c r="A23" s="1"/>
      <c r="B23" s="27" t="s">
        <v>260</v>
      </c>
      <c r="C23" s="21">
        <v>9980</v>
      </c>
      <c r="D23" s="14" t="s">
        <v>3</v>
      </c>
      <c r="E23" s="9">
        <v>6663</v>
      </c>
      <c r="F23" s="14" t="s">
        <v>3</v>
      </c>
      <c r="G23" s="1"/>
    </row>
    <row r="24" spans="1:7" x14ac:dyDescent="0.25">
      <c r="A24" s="1"/>
      <c r="B24" s="27" t="s">
        <v>261</v>
      </c>
      <c r="C24" s="21">
        <v>64167</v>
      </c>
      <c r="D24" s="14" t="s">
        <v>3</v>
      </c>
      <c r="E24" s="9">
        <v>9483</v>
      </c>
      <c r="F24" s="14" t="s">
        <v>3</v>
      </c>
      <c r="G24" s="1"/>
    </row>
    <row r="25" spans="1:7" x14ac:dyDescent="0.25">
      <c r="A25" s="1"/>
      <c r="B25" s="27" t="s">
        <v>262</v>
      </c>
      <c r="C25" s="21">
        <v>18210</v>
      </c>
      <c r="D25" s="14" t="s">
        <v>3</v>
      </c>
      <c r="E25" s="9">
        <v>14754</v>
      </c>
      <c r="F25" s="14" t="s">
        <v>3</v>
      </c>
      <c r="G25" s="1"/>
    </row>
    <row r="26" spans="1:7" x14ac:dyDescent="0.25">
      <c r="A26" s="1"/>
      <c r="B26" s="27" t="s">
        <v>263</v>
      </c>
      <c r="C26" s="21">
        <v>10912</v>
      </c>
      <c r="D26" s="14" t="s">
        <v>3</v>
      </c>
      <c r="E26" s="9">
        <v>2556</v>
      </c>
      <c r="F26" s="14" t="s">
        <v>3</v>
      </c>
      <c r="G26" s="1"/>
    </row>
    <row r="27" spans="1:7" x14ac:dyDescent="0.25">
      <c r="A27" s="1"/>
      <c r="B27" s="27"/>
      <c r="C27" s="21"/>
      <c r="D27" s="14" t="s">
        <v>3</v>
      </c>
      <c r="E27" s="9"/>
      <c r="F27" s="14" t="s">
        <v>3</v>
      </c>
      <c r="G27" s="1"/>
    </row>
    <row r="28" spans="1:7" x14ac:dyDescent="0.25">
      <c r="A28" s="1"/>
      <c r="B28" s="51" t="s">
        <v>151</v>
      </c>
      <c r="C28" s="12">
        <f>SUM(C10:C27)</f>
        <v>521885</v>
      </c>
      <c r="D28" s="13" t="s">
        <v>3</v>
      </c>
      <c r="E28" s="12">
        <f>SUM(E10:E27)</f>
        <v>361512</v>
      </c>
      <c r="F28" s="13" t="s">
        <v>3</v>
      </c>
      <c r="G28" s="1"/>
    </row>
    <row r="29" spans="1:7" x14ac:dyDescent="0.25">
      <c r="A29" s="1"/>
      <c r="B29" s="51" t="s">
        <v>209</v>
      </c>
      <c r="C29" s="12">
        <f>C28*(1+'Fane 13. Nøgletal'!C16)</f>
        <v>564053.30799999996</v>
      </c>
      <c r="D29" s="13" t="s">
        <v>3</v>
      </c>
      <c r="E29" s="12">
        <f>E28*(1+'Fane 13. Nøgletal'!C16)</f>
        <v>390722.16960000002</v>
      </c>
      <c r="F29" s="13" t="s">
        <v>3</v>
      </c>
      <c r="G29" s="1"/>
    </row>
    <row r="30" spans="1:7" x14ac:dyDescent="0.25">
      <c r="A30" s="1"/>
      <c r="B30" s="1"/>
      <c r="C30" s="1" t="s">
        <v>168</v>
      </c>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6g0mPK2V1zNoV3QlQ/VbMmqBEM6elngS1uLyEVQA1ANYhKlS9EfRwM0iMFLmXDL1WgHaMF4ioUqawW6nOx8jCQ==" saltValue="saPrR+ML7suTh8413lJjk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vJ1b4TbAqc14NRWaUC/xYHD3IPjAK5ouwSHz0ysWXsrx7TQmPahOZsmxSVh4rBO52RJdKsCwCipJx1ntuyo5Q==" saltValue="bQuC1dqfwPC8M7DoF76kI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Yn+zfDqQhMzd0tH+tv3egJNhFjlVsV7LXKroUiotQa+bY3GUIqNotfhBtXTiUfam24/S84Pj8zElqB3JtQp4KA==" saltValue="vUfhntUjqay/s2YXeFTpi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4JCmh3OcR9oPbDno8yylb7ZfOlXQwtOoUhxkhDPcMBIlf9fG1JsTBuY+6t6ZrZURw1502rNhNAmgTLz8k3EPA==" saltValue="v+jeeky7GfpHfF5Junr9r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1"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lnTh5dlUKQxBy4exRKETfuD4zl8o++OPIBqVSSgT3j0Og3/BgcyxS6TIJnLRh9Ee6+dp4IBEGyn6Ip3z3BO2Dw==" saltValue="29jKu+HarCilCseS4UDbF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16516742.341806255</v>
      </c>
      <c r="D8" s="8" t="s">
        <v>3</v>
      </c>
      <c r="E8" s="1"/>
    </row>
    <row r="9" spans="1:5" ht="17.100000000000001" customHeight="1" x14ac:dyDescent="0.25">
      <c r="A9" s="1"/>
      <c r="B9" s="24" t="s">
        <v>33</v>
      </c>
      <c r="C9" s="7">
        <f>'Fane 10.1. Varige tillæg'!C29</f>
        <v>564053.30799999996</v>
      </c>
      <c r="D9" s="8" t="s">
        <v>3</v>
      </c>
      <c r="E9" s="1"/>
    </row>
    <row r="10" spans="1:5" ht="17.100000000000001" customHeight="1" x14ac:dyDescent="0.25">
      <c r="A10" s="1"/>
      <c r="B10" s="24" t="s">
        <v>34</v>
      </c>
      <c r="C10" s="9">
        <f>'Fane 10.1. Varige tillæg'!E29</f>
        <v>390722.16960000002</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665141.88595838263</v>
      </c>
      <c r="D15" s="8" t="s">
        <v>3</v>
      </c>
      <c r="E15" s="1"/>
    </row>
    <row r="16" spans="1:5" ht="17.100000000000001" customHeight="1" x14ac:dyDescent="0.25">
      <c r="A16" s="1"/>
      <c r="B16" s="24" t="s">
        <v>9</v>
      </c>
      <c r="C16" s="9">
        <f>-SUM(C8,C9:C15)*'Fane 5. Individuelt eff. krav'!G9</f>
        <v>-95547.908835837487</v>
      </c>
      <c r="D16" s="8" t="s">
        <v>3</v>
      </c>
      <c r="E16" s="1"/>
    </row>
    <row r="17" spans="1:5" ht="17.100000000000001" customHeight="1" x14ac:dyDescent="0.25">
      <c r="A17" s="1"/>
      <c r="B17" s="24" t="s">
        <v>22</v>
      </c>
      <c r="C17" s="9">
        <f>-'Fane 4.1. Gen. krav - drift'!G49</f>
        <v>-179075.94227704845</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17862035.85425175</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27558018.752327573</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6">
        <v>0</v>
      </c>
      <c r="D27" s="11" t="s">
        <v>3</v>
      </c>
      <c r="E27" s="1"/>
    </row>
    <row r="28" spans="1:5" ht="15" customHeight="1" x14ac:dyDescent="0.25">
      <c r="A28" s="1"/>
      <c r="B28" s="26" t="s">
        <v>117</v>
      </c>
      <c r="C28" s="52"/>
      <c r="D28" s="19"/>
      <c r="E28" s="1"/>
    </row>
    <row r="29" spans="1:5" x14ac:dyDescent="0.25">
      <c r="A29" s="1"/>
      <c r="B29" s="72" t="s">
        <v>118</v>
      </c>
      <c r="C29" s="10">
        <f>'Fane 7. Kontrol af ØR2022'!E15</f>
        <v>0</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26" t="s">
        <v>278</v>
      </c>
      <c r="C32" s="52"/>
      <c r="D32" s="19"/>
      <c r="E32" s="1"/>
    </row>
    <row r="33" spans="1:5" x14ac:dyDescent="0.25">
      <c r="A33" s="1"/>
      <c r="B33" s="72" t="s">
        <v>279</v>
      </c>
      <c r="C33" s="10">
        <v>172435.98541647941</v>
      </c>
      <c r="D33" s="11" t="s">
        <v>3</v>
      </c>
      <c r="E33" s="1"/>
    </row>
    <row r="34" spans="1:5" x14ac:dyDescent="0.25">
      <c r="A34" s="1"/>
      <c r="B34" s="51" t="s">
        <v>126</v>
      </c>
      <c r="C34" s="33">
        <f>SUM(C19,C21,C27,C29,C31,C33)</f>
        <v>45592490.591995798</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PCrKP/vh5QiLDuOpL1ShfARATDhbh4KjydHSlPS83D4DmnyIEbJeoYMlJpj4CQX8ucrKjZ6ugl9R+yojwYZlA==" saltValue="z23FJWsaaV8mVsUiCEHkk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17862035.85425175</v>
      </c>
      <c r="D8" s="8" t="s">
        <v>3</v>
      </c>
      <c r="E8" s="1"/>
    </row>
    <row r="9" spans="1:5" ht="15" customHeight="1" x14ac:dyDescent="0.25">
      <c r="A9" s="1"/>
      <c r="B9" s="29" t="s">
        <v>17</v>
      </c>
      <c r="C9" s="9">
        <f>SUM(C8:C8)*'Fane 13. Nøgletal'!C16</f>
        <v>1443252.4970235412</v>
      </c>
      <c r="D9" s="8" t="s">
        <v>3</v>
      </c>
      <c r="E9" s="1"/>
    </row>
    <row r="10" spans="1:5" ht="15" customHeight="1" x14ac:dyDescent="0.25">
      <c r="A10" s="1"/>
      <c r="B10" s="29" t="s">
        <v>9</v>
      </c>
      <c r="C10" s="9">
        <f>-SUM(C8:C9)*'Fane 5. Individuelt eff. krav'!G9</f>
        <v>-101704.50134715818</v>
      </c>
      <c r="D10" s="8" t="s">
        <v>3</v>
      </c>
      <c r="E10" s="1"/>
    </row>
    <row r="11" spans="1:5" ht="15" customHeight="1" x14ac:dyDescent="0.25">
      <c r="A11" s="1"/>
      <c r="B11" s="29" t="s">
        <v>22</v>
      </c>
      <c r="C11" s="9">
        <f>-'Fane 4.1. Gen. krav - drift'!G54</f>
        <v>-189674.37284477332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19013909.477083359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29784706.667515639</v>
      </c>
      <c r="D15" s="11" t="s">
        <v>3</v>
      </c>
      <c r="E15" s="1"/>
    </row>
    <row r="16" spans="1:5" x14ac:dyDescent="0.25">
      <c r="A16" s="1"/>
      <c r="B16" s="26" t="s">
        <v>117</v>
      </c>
      <c r="C16" s="52"/>
      <c r="D16" s="19"/>
      <c r="E16" s="1"/>
    </row>
    <row r="17" spans="1:5" ht="15" customHeight="1" x14ac:dyDescent="0.25">
      <c r="A17" s="1"/>
      <c r="B17" s="72" t="s">
        <v>118</v>
      </c>
      <c r="C17" s="10">
        <f>'Fane 7. Kontrol af ØR2022'!E33</f>
        <v>-2760369</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46038247.144598998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5gE1qxC2raHxfhu7Hofry6i1EYV8W611OqcuoMWTVyg9nJ3FigbR5v/Me5NlmbS+M6K5tkCW1uhcredoM/ROg==" saltValue="vn0pb6g6+wWHEaImjy7zs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19013909.477083359</v>
      </c>
      <c r="D8" s="8" t="s">
        <v>3</v>
      </c>
      <c r="E8" s="1"/>
    </row>
    <row r="9" spans="1:5" ht="15" customHeight="1" x14ac:dyDescent="0.25">
      <c r="A9" s="1"/>
      <c r="B9" s="29" t="s">
        <v>17</v>
      </c>
      <c r="C9" s="9">
        <f>SUM(C8:C8)*'Fane 13. Nøgletal'!C16</f>
        <v>1536323.8857483354</v>
      </c>
      <c r="D9" s="8" t="s">
        <v>3</v>
      </c>
      <c r="E9" s="1"/>
    </row>
    <row r="10" spans="1:5" ht="15" customHeight="1" x14ac:dyDescent="0.25">
      <c r="A10" s="1"/>
      <c r="B10" s="29" t="s">
        <v>9</v>
      </c>
      <c r="C10" s="9">
        <f>-SUM(C8:C9)*'Fane 5. Individuelt eff. krav'!G9</f>
        <v>-108263.14524312525</v>
      </c>
      <c r="D10" s="8" t="s">
        <v>3</v>
      </c>
      <c r="E10" s="1"/>
    </row>
    <row r="11" spans="1:5" ht="15" customHeight="1" x14ac:dyDescent="0.25">
      <c r="A11" s="1"/>
      <c r="B11" s="29" t="s">
        <v>22</v>
      </c>
      <c r="C11" s="9">
        <f>-'Fane 4.1. Gen. krav - drift'!G59</f>
        <v>-200900.06092721838</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20241070.156661347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32191310.966250904</v>
      </c>
      <c r="D15" s="11" t="s">
        <v>3</v>
      </c>
      <c r="E15" s="1"/>
    </row>
    <row r="16" spans="1:5" x14ac:dyDescent="0.25">
      <c r="A16" s="1"/>
      <c r="B16" s="51" t="s">
        <v>117</v>
      </c>
      <c r="C16" s="52"/>
      <c r="D16" s="19"/>
      <c r="E16" s="1"/>
    </row>
    <row r="17" spans="1:5" x14ac:dyDescent="0.25">
      <c r="A17" s="1"/>
      <c r="B17" s="53" t="s">
        <v>118</v>
      </c>
      <c r="C17" s="10">
        <f>'Fane 7. Kontrol af ØR2022'!E33</f>
        <v>-2760369</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49672012.12291225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Wbwh3KwbC6NMRktL8wpNLyFL2zHBf7mOtOl0cPENU6cgyuNy960SjZMuwc1Smx0eJuMLhEB9H9ym2a2xGm+oA==" saltValue="j0K7LSREZQtRlJoxNd4YI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20241070.156661347</v>
      </c>
      <c r="D8" s="8" t="s">
        <v>3</v>
      </c>
      <c r="E8" s="1"/>
    </row>
    <row r="9" spans="1:5" ht="15" customHeight="1" x14ac:dyDescent="0.25">
      <c r="A9" s="1"/>
      <c r="B9" s="29" t="s">
        <v>17</v>
      </c>
      <c r="C9" s="9">
        <f>SUM(C8:C8)*'Fane 13. Nøgletal'!C16</f>
        <v>1635478.4686582368</v>
      </c>
      <c r="D9" s="8" t="s">
        <v>3</v>
      </c>
      <c r="E9" s="1"/>
    </row>
    <row r="10" spans="1:5" ht="15" customHeight="1" x14ac:dyDescent="0.25">
      <c r="A10" s="1"/>
      <c r="B10" s="29" t="s">
        <v>9</v>
      </c>
      <c r="C10" s="9">
        <f>-SUM(C8:C9)*'Fane 5. Individuelt eff. krav'!G9</f>
        <v>-115250.4655020089</v>
      </c>
      <c r="D10" s="8" t="s">
        <v>3</v>
      </c>
      <c r="E10" s="1"/>
    </row>
    <row r="11" spans="1:5" ht="15" customHeight="1" x14ac:dyDescent="0.25">
      <c r="A11" s="1"/>
      <c r="B11" s="29" t="s">
        <v>22</v>
      </c>
      <c r="C11" s="9">
        <f>-'Fane 4.1. Gen. krav - drift'!G64</f>
        <v>-212790.13013313487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21548508.029684443</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34792368.892323971</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56340876.92200841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ijWwkJ6w1QhcBS11CdZ/XIGbZtV8Y4XPY6LhixH/Tn9V4K8AouB1ZZaJwMQGzA3QaiAlii1tYbJwf9dJNQ+pA==" saltValue="LT9vE3e9OhgnDdlZgzrIb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15596025.058580294</v>
      </c>
      <c r="D8" s="8" t="s">
        <v>3</v>
      </c>
      <c r="E8" s="1"/>
    </row>
    <row r="9" spans="1:5" x14ac:dyDescent="0.25">
      <c r="A9" s="1"/>
      <c r="B9" s="24" t="s">
        <v>33</v>
      </c>
      <c r="C9" s="7">
        <v>363043.04280000005</v>
      </c>
      <c r="D9" s="8" t="s">
        <v>3</v>
      </c>
      <c r="E9" s="1"/>
    </row>
    <row r="10" spans="1:5" x14ac:dyDescent="0.25">
      <c r="A10" s="1"/>
      <c r="B10" s="24" t="s">
        <v>34</v>
      </c>
      <c r="C10" s="9">
        <v>233982.4284</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576472.59886017849</v>
      </c>
      <c r="D15" s="8" t="s">
        <v>3</v>
      </c>
      <c r="E15" s="1"/>
    </row>
    <row r="16" spans="1:5" x14ac:dyDescent="0.25">
      <c r="A16" s="1"/>
      <c r="B16" s="24" t="s">
        <v>9</v>
      </c>
      <c r="C16" s="9">
        <v>-88345.532923125123</v>
      </c>
      <c r="D16" s="8" t="s">
        <v>3</v>
      </c>
      <c r="E16" s="1"/>
    </row>
    <row r="17" spans="1:5" x14ac:dyDescent="0.25">
      <c r="A17" s="1"/>
      <c r="B17" s="24" t="s">
        <v>22</v>
      </c>
      <c r="C17" s="9">
        <v>-164435.25391109209</v>
      </c>
      <c r="D17" s="8" t="s">
        <v>3</v>
      </c>
      <c r="E17" s="1"/>
    </row>
    <row r="18" spans="1:5" x14ac:dyDescent="0.25">
      <c r="A18" s="1"/>
      <c r="B18" s="24" t="s">
        <v>23</v>
      </c>
      <c r="C18" s="9">
        <v>0</v>
      </c>
      <c r="D18" s="8" t="s">
        <v>3</v>
      </c>
      <c r="E18" s="1"/>
    </row>
    <row r="19" spans="1:5" x14ac:dyDescent="0.25">
      <c r="A19" s="1"/>
      <c r="B19" s="73" t="s">
        <v>19</v>
      </c>
      <c r="C19" s="10">
        <v>16516742.341806255</v>
      </c>
      <c r="D19" s="11" t="s">
        <v>3</v>
      </c>
      <c r="E19" s="1"/>
    </row>
    <row r="20" spans="1:5" x14ac:dyDescent="0.25">
      <c r="A20" s="1"/>
      <c r="B20" s="51" t="s">
        <v>11</v>
      </c>
      <c r="C20" s="52"/>
      <c r="D20" s="19"/>
      <c r="E20" s="1"/>
    </row>
    <row r="21" spans="1:5" x14ac:dyDescent="0.25">
      <c r="A21" s="1"/>
      <c r="B21" s="53" t="s">
        <v>11</v>
      </c>
      <c r="C21" s="10">
        <v>19372608.534487683</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6">
        <v>0</v>
      </c>
      <c r="D27" s="11" t="s">
        <v>3</v>
      </c>
      <c r="E27" s="1"/>
    </row>
    <row r="28" spans="1:5" x14ac:dyDescent="0.25">
      <c r="A28" s="1"/>
      <c r="B28" s="26" t="s">
        <v>117</v>
      </c>
      <c r="C28" s="52"/>
      <c r="D28" s="19"/>
      <c r="E28" s="1"/>
    </row>
    <row r="29" spans="1:5" x14ac:dyDescent="0.25">
      <c r="A29" s="1"/>
      <c r="B29" s="72" t="s">
        <v>118</v>
      </c>
      <c r="C29" s="10">
        <v>0</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35889350.876293942</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AeoaS3nJ6Aq+LgupMUfydJCef9+klBN+Q7/svbojdd7QGWE87gZn1YRgEd6mQ75AIdbWmJziPLFV7KI1kTjg==" saltValue="YMANtLwSEVuq9F3WZgqWC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7326095.8916398128</v>
      </c>
      <c r="H5" s="14" t="s">
        <v>3</v>
      </c>
      <c r="I5" s="1"/>
    </row>
    <row r="6" spans="1:9" x14ac:dyDescent="0.25">
      <c r="A6" s="1"/>
      <c r="B6" s="101" t="s">
        <v>37</v>
      </c>
      <c r="C6" s="102"/>
      <c r="D6" s="102"/>
      <c r="E6" s="102"/>
      <c r="F6" s="103"/>
      <c r="G6" s="22">
        <f>G5*'Fane 13. Nøgletal'!C33</f>
        <v>146521.91783279626</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7270754.5632743649</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145415.09126548731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7245757.7090858268</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144915.15418171653</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7220846.7940819887</v>
      </c>
      <c r="H23" s="14" t="s">
        <v>3</v>
      </c>
      <c r="I23" s="1"/>
    </row>
    <row r="24" spans="1:9" x14ac:dyDescent="0.25">
      <c r="A24" s="1"/>
      <c r="B24" s="104" t="s">
        <v>230</v>
      </c>
      <c r="C24" s="105"/>
      <c r="D24" s="105"/>
      <c r="E24" s="105"/>
      <c r="F24" s="106"/>
      <c r="G24" s="47">
        <v>313338.06134532002</v>
      </c>
      <c r="H24" s="14" t="s">
        <v>3</v>
      </c>
      <c r="I24" s="1"/>
    </row>
    <row r="25" spans="1:9" x14ac:dyDescent="0.25">
      <c r="A25" s="1"/>
      <c r="B25" s="101" t="s">
        <v>43</v>
      </c>
      <c r="C25" s="102"/>
      <c r="D25" s="102"/>
      <c r="E25" s="102"/>
      <c r="F25" s="103"/>
      <c r="G25" s="22">
        <f>(G23+G24)*'Fane 13. Nøgletal'!C33</f>
        <v>150683.69710854618</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7473579.8724502511</v>
      </c>
      <c r="H29" s="14" t="s">
        <v>3</v>
      </c>
      <c r="I29" s="1"/>
    </row>
    <row r="30" spans="1:9" x14ac:dyDescent="0.25">
      <c r="A30" s="1"/>
      <c r="B30" s="101" t="s">
        <v>231</v>
      </c>
      <c r="C30" s="102"/>
      <c r="D30" s="102"/>
      <c r="E30" s="102"/>
      <c r="F30" s="103"/>
      <c r="G30" s="47">
        <v>160240.6866736513</v>
      </c>
      <c r="H30" s="14" t="s">
        <v>3</v>
      </c>
      <c r="I30" s="1"/>
    </row>
    <row r="31" spans="1:9" x14ac:dyDescent="0.25">
      <c r="A31" s="1"/>
      <c r="B31" s="101" t="s">
        <v>115</v>
      </c>
      <c r="C31" s="102"/>
      <c r="D31" s="102"/>
      <c r="E31" s="102"/>
      <c r="F31" s="103"/>
      <c r="G31" s="22">
        <f>(G29+G30)*'Fane 13. Nøgletal'!C33</f>
        <v>152676.41118247804</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7572414.1065463098</v>
      </c>
      <c r="H35" s="14" t="s">
        <v>3</v>
      </c>
      <c r="I35" s="1"/>
    </row>
    <row r="36" spans="1:9" x14ac:dyDescent="0.25">
      <c r="A36" s="1"/>
      <c r="B36" s="101" t="s">
        <v>232</v>
      </c>
      <c r="C36" s="102"/>
      <c r="D36" s="102"/>
      <c r="E36" s="102"/>
      <c r="F36" s="103"/>
      <c r="G36" s="47">
        <v>158286.54261983003</v>
      </c>
      <c r="H36" s="14" t="s">
        <v>3</v>
      </c>
      <c r="I36" s="1"/>
    </row>
    <row r="37" spans="1:9" x14ac:dyDescent="0.25">
      <c r="A37" s="1"/>
      <c r="B37" s="101" t="s">
        <v>123</v>
      </c>
      <c r="C37" s="102"/>
      <c r="D37" s="102"/>
      <c r="E37" s="102"/>
      <c r="F37" s="103"/>
      <c r="G37" s="22">
        <f>(G35+G36)*'Fane 13. Nøgletal'!C33</f>
        <v>154614.01298332281</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7845795.3204309251</v>
      </c>
      <c r="H41" s="14" t="s">
        <v>3</v>
      </c>
      <c r="I41" s="1"/>
    </row>
    <row r="42" spans="1:9" x14ac:dyDescent="0.25">
      <c r="A42" s="1"/>
      <c r="B42" s="101" t="s">
        <v>156</v>
      </c>
      <c r="C42" s="102"/>
      <c r="D42" s="102"/>
      <c r="E42" s="102"/>
      <c r="F42" s="103"/>
      <c r="G42" s="22">
        <v>375967.3751236801</v>
      </c>
      <c r="H42" s="14" t="s">
        <v>3</v>
      </c>
      <c r="I42" s="1"/>
    </row>
    <row r="43" spans="1:9" x14ac:dyDescent="0.25">
      <c r="A43" s="1"/>
      <c r="B43" s="101" t="s">
        <v>166</v>
      </c>
      <c r="C43" s="102"/>
      <c r="D43" s="102"/>
      <c r="E43" s="102"/>
      <c r="F43" s="103"/>
      <c r="G43" s="22">
        <f>(G41+G42)*'Fane 13. Nøgletal'!C33</f>
        <v>164435.25391109209</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8344168.2985660229</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609628.81528639991</v>
      </c>
      <c r="H48" s="14" t="s">
        <v>3</v>
      </c>
      <c r="I48" s="1"/>
    </row>
    <row r="49" spans="1:9" x14ac:dyDescent="0.25">
      <c r="A49" s="1"/>
      <c r="B49" s="101" t="s">
        <v>167</v>
      </c>
      <c r="C49" s="102"/>
      <c r="D49" s="102"/>
      <c r="E49" s="102"/>
      <c r="F49" s="103"/>
      <c r="G49" s="22">
        <f>G47*'Fane 13. Nøgletal'!C33+G48*'Fane 13. Nøgletal'!C33</f>
        <v>179075.94227704845</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9483718.6422386654</v>
      </c>
      <c r="H53" s="14" t="s">
        <v>3</v>
      </c>
      <c r="I53" s="1"/>
    </row>
    <row r="54" spans="1:9" x14ac:dyDescent="0.25">
      <c r="A54" s="1"/>
      <c r="B54" s="101" t="s">
        <v>135</v>
      </c>
      <c r="C54" s="102"/>
      <c r="D54" s="102"/>
      <c r="E54" s="102"/>
      <c r="F54" s="103"/>
      <c r="G54" s="22">
        <f>(G53)*'Fane 13. Nøgletal'!C33</f>
        <v>189674.37284477332</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10045003.046360919</v>
      </c>
      <c r="H58" s="14" t="s">
        <v>3</v>
      </c>
      <c r="I58" s="1"/>
    </row>
    <row r="59" spans="1:9" x14ac:dyDescent="0.25">
      <c r="A59" s="1"/>
      <c r="B59" s="101" t="s">
        <v>146</v>
      </c>
      <c r="C59" s="102"/>
      <c r="D59" s="102"/>
      <c r="E59" s="102"/>
      <c r="F59" s="103"/>
      <c r="G59" s="22">
        <f>(G58)*'Fane 13. Nøgletal'!C33</f>
        <v>200900.06092721838</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10639506.506656744</v>
      </c>
      <c r="H63" s="14" t="s">
        <v>3</v>
      </c>
      <c r="I63" s="1"/>
    </row>
    <row r="64" spans="1:9" x14ac:dyDescent="0.25">
      <c r="A64" s="1"/>
      <c r="B64" s="101" t="s">
        <v>222</v>
      </c>
      <c r="C64" s="102"/>
      <c r="D64" s="102"/>
      <c r="E64" s="102"/>
      <c r="F64" s="103"/>
      <c r="G64" s="22">
        <f>(G63)*'Fane 13. Nøgletal'!C33</f>
        <v>212790.13013313487</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QT0uyp7lggVFctZIJDAGmRBkVtVzLjKnHrwWbOEceyM9bgLqs0Tw5PgmiKobZr5ZrfBngsO0YX2h15ICSqNTKQ==" saltValue="o8ZdCxBe+Nt8HHgbFN9la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8761010.1928633749</v>
      </c>
      <c r="H5" s="14" t="s">
        <v>3</v>
      </c>
      <c r="I5" s="1"/>
    </row>
    <row r="6" spans="1:9" x14ac:dyDescent="0.25">
      <c r="A6" s="1"/>
      <c r="B6" s="101" t="s">
        <v>49</v>
      </c>
      <c r="C6" s="102"/>
      <c r="D6" s="102"/>
      <c r="E6" s="102"/>
      <c r="F6" s="103"/>
      <c r="G6" s="22">
        <f>G5*'Fane 13. Nøgletal'!C21</f>
        <v>79725.19275505672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8791537.3196096942</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80002.989608448217</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8858759.2601782661</v>
      </c>
      <c r="H16" s="14" t="s">
        <v>3</v>
      </c>
      <c r="I16" s="1"/>
    </row>
    <row r="17" spans="1:9" x14ac:dyDescent="0.25">
      <c r="A17" s="1"/>
      <c r="B17" s="101" t="s">
        <v>101</v>
      </c>
      <c r="C17" s="102"/>
      <c r="D17" s="102"/>
      <c r="E17" s="102"/>
      <c r="F17" s="103"/>
      <c r="G17" s="47">
        <v>29883.802290735475</v>
      </c>
      <c r="H17" s="14" t="s">
        <v>3</v>
      </c>
      <c r="I17" s="1"/>
    </row>
    <row r="18" spans="1:9" x14ac:dyDescent="0.25">
      <c r="A18" s="1"/>
      <c r="B18" s="104" t="s">
        <v>58</v>
      </c>
      <c r="C18" s="105"/>
      <c r="D18" s="105"/>
      <c r="E18" s="105"/>
      <c r="F18" s="106"/>
      <c r="G18" s="47">
        <v>145590.98120311997</v>
      </c>
      <c r="H18" s="14" t="s">
        <v>3</v>
      </c>
      <c r="I18" s="1"/>
    </row>
    <row r="19" spans="1:9" x14ac:dyDescent="0.25">
      <c r="A19" s="1"/>
      <c r="B19" s="101" t="s">
        <v>59</v>
      </c>
      <c r="C19" s="102"/>
      <c r="D19" s="102"/>
      <c r="E19" s="102"/>
      <c r="F19" s="103"/>
      <c r="G19" s="22">
        <f>(G16+G17+G18)*'Fane 13. Nøgletal'!C23</f>
        <v>78597.836179947451</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9106986.4593987912</v>
      </c>
      <c r="H23" s="14" t="s">
        <v>3</v>
      </c>
      <c r="I23" s="1"/>
    </row>
    <row r="24" spans="1:9" x14ac:dyDescent="0.25">
      <c r="A24" s="1"/>
      <c r="B24" s="104" t="s">
        <v>62</v>
      </c>
      <c r="C24" s="105"/>
      <c r="D24" s="105"/>
      <c r="E24" s="105"/>
      <c r="F24" s="106"/>
      <c r="G24" s="47">
        <v>58275.381010809608</v>
      </c>
      <c r="H24" s="14" t="s">
        <v>3</v>
      </c>
      <c r="I24" s="1"/>
    </row>
    <row r="25" spans="1:9" x14ac:dyDescent="0.25">
      <c r="A25" s="1"/>
      <c r="B25" s="101" t="s">
        <v>63</v>
      </c>
      <c r="C25" s="102"/>
      <c r="D25" s="102"/>
      <c r="E25" s="102"/>
      <c r="F25" s="103"/>
      <c r="G25" s="22">
        <f>G23*'Fane 13. Nøgletal'!C23+G24*'Fane 13. Nøgletal'!C24</f>
        <v>80885.803017476472</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9195205.4250483084</v>
      </c>
      <c r="H29" s="14" t="s">
        <v>3</v>
      </c>
      <c r="I29" s="1"/>
    </row>
    <row r="30" spans="1:9" x14ac:dyDescent="0.25">
      <c r="A30" s="1"/>
      <c r="B30" s="101" t="s">
        <v>113</v>
      </c>
      <c r="C30" s="102"/>
      <c r="D30" s="102"/>
      <c r="E30" s="102"/>
      <c r="F30" s="103"/>
      <c r="G30" s="47">
        <v>138932.92089936</v>
      </c>
      <c r="H30" s="14" t="s">
        <v>3</v>
      </c>
      <c r="I30" s="1"/>
    </row>
    <row r="31" spans="1:9" x14ac:dyDescent="0.25">
      <c r="A31" s="1"/>
      <c r="B31" s="101" t="s">
        <v>120</v>
      </c>
      <c r="C31" s="102"/>
      <c r="D31" s="102"/>
      <c r="E31" s="102"/>
      <c r="F31" s="103"/>
      <c r="G31" s="22">
        <f>(G29+G30)*'Fane 13. Nøgletal'!C25</f>
        <v>256688.80451356087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9188194.4258396029</v>
      </c>
      <c r="H35" s="14" t="s">
        <v>3</v>
      </c>
      <c r="I35" s="1"/>
    </row>
    <row r="36" spans="1:9" x14ac:dyDescent="0.25">
      <c r="A36" s="1"/>
      <c r="B36" s="101" t="s">
        <v>129</v>
      </c>
      <c r="C36" s="102"/>
      <c r="D36" s="102"/>
      <c r="E36" s="102"/>
      <c r="F36" s="103"/>
      <c r="G36" s="22">
        <v>106398.77107300003</v>
      </c>
      <c r="H36" s="14" t="s">
        <v>3</v>
      </c>
      <c r="I36" s="1"/>
    </row>
    <row r="37" spans="1:9" x14ac:dyDescent="0.25">
      <c r="A37" s="1"/>
      <c r="B37" s="101" t="s">
        <v>125</v>
      </c>
      <c r="C37" s="102"/>
      <c r="D37" s="102"/>
      <c r="E37" s="102"/>
      <c r="F37" s="103"/>
      <c r="G37" s="22">
        <f>G35*'Fane 13. Nøgletal'!C25+G36*'Fane 13. Nøgletal'!C26</f>
        <v>254250.04852246947</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9362179.3644728251</v>
      </c>
      <c r="H41" s="14" t="s">
        <v>3</v>
      </c>
      <c r="I41" s="1"/>
    </row>
    <row r="42" spans="1:9" x14ac:dyDescent="0.25">
      <c r="A42" s="1"/>
      <c r="B42" s="101" t="s">
        <v>169</v>
      </c>
      <c r="C42" s="102"/>
      <c r="D42" s="102"/>
      <c r="E42" s="102"/>
      <c r="F42" s="103"/>
      <c r="G42" s="9">
        <v>242312.20285104003</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9946411.4671205953</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422292.52090368001</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11206495.270256637</v>
      </c>
      <c r="H53" s="14" t="s">
        <v>3</v>
      </c>
      <c r="I53" s="1"/>
    </row>
    <row r="54" spans="1:9" x14ac:dyDescent="0.25">
      <c r="A54" s="1"/>
      <c r="B54" s="101" t="s">
        <v>132</v>
      </c>
      <c r="C54" s="102"/>
      <c r="D54" s="102"/>
      <c r="E54" s="102"/>
      <c r="F54" s="103"/>
      <c r="G54" s="22">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12111980.088093372</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13090628.079211317</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52BYNk7Ps4uL0YrdfKis+85wP3jilv8CkEJmHuzXaNofDOw0gAWyn73rYf95hn+fFykb8JpvUWbkaJ3NJ8I6gA==" saltValue="ZxE9ee70XI+/Bv2+Th8rS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63">
        <v>5.2682197487321997E-3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ap6bXfd3ycTto89yB5Qnttgc9lzZYdqXB5qAjbIS0ywZOc7tSAa1U/WGy8FAo8PJJDPIIA5ZcKyDIyXKcA6ehw==" saltValue="gZPwUOpNuvsdd7fbZqLYf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2023-11-29T18:06:52Z</dcterms:modified>
</cp:coreProperties>
</file>