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AND\Sagsbehandling\Tillæg\ØR26\Tillæg til meromkostninger\V162 - Silkeborg Vand\"/>
    </mc:Choice>
  </mc:AlternateContent>
  <xr:revisionPtr revIDLastSave="0" documentId="13_ncr:1_{B2EB3857-E0D8-4DAF-B51A-2BADAC7E021B}" xr6:coauthVersionLast="36" xr6:coauthVersionMax="36" xr10:uidLastSave="{00000000-0000-0000-0000-000000000000}"/>
  <bookViews>
    <workbookView xWindow="0" yWindow="0" windowWidth="28800" windowHeight="12105" xr2:uid="{1657FFAA-5B6A-4DCB-8F33-FDC9CDA89458}"/>
  </bookViews>
  <sheets>
    <sheet name="Opgørelse af omkostninger i ØR" sheetId="1" r:id="rId1"/>
    <sheet name="Priskorrektion og krav" sheetId="2" r:id="rId2"/>
  </sheets>
  <definedNames>
    <definedName name="_xlnm._FilterDatabase" localSheetId="0" hidden="1">'Opgørelse af omkostninger i ØR'!$A$3:$H$4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F16" i="1"/>
  <c r="E16" i="1"/>
  <c r="H11" i="1"/>
  <c r="H12" i="1"/>
  <c r="H13" i="1"/>
  <c r="G13" i="1"/>
  <c r="G12" i="1"/>
  <c r="G11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C16" i="2"/>
  <c r="F11" i="1"/>
  <c r="F12" i="1"/>
  <c r="F13" i="1"/>
  <c r="C10" i="2" l="1"/>
  <c r="F4" i="1"/>
  <c r="G4" i="1" s="1"/>
  <c r="D22" i="2" l="1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E21" i="2"/>
  <c r="D21" i="2"/>
  <c r="B2" i="2"/>
  <c r="C9" i="2" s="1"/>
  <c r="D7" i="1"/>
  <c r="F7" i="1" l="1"/>
  <c r="C12" i="2"/>
  <c r="C7" i="2"/>
  <c r="C6" i="2"/>
  <c r="C4" i="2"/>
  <c r="C8" i="2"/>
  <c r="F22" i="2"/>
  <c r="F24" i="2"/>
  <c r="F26" i="2"/>
  <c r="C14" i="2"/>
  <c r="F25" i="2"/>
  <c r="C13" i="2"/>
  <c r="C5" i="2"/>
  <c r="F28" i="2"/>
  <c r="H4" i="1" s="1"/>
  <c r="F27" i="2"/>
  <c r="F21" i="2"/>
  <c r="C11" i="2"/>
  <c r="C2" i="2"/>
  <c r="C15" i="2"/>
  <c r="F23" i="2"/>
  <c r="C3" i="2"/>
  <c r="G7" i="1" l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Peter van Pham</author>
  </authors>
  <commentList>
    <comment ref="C16" authorId="0" shapeId="0" xr:uid="{AF4467A1-9290-4A5F-A64C-1D798632C633}">
      <text>
        <r>
          <rPr>
            <b/>
            <sz val="9"/>
            <color indexed="81"/>
            <rFont val="Tahoma"/>
            <family val="2"/>
          </rPr>
          <t>Kim Peter van Pham:</t>
        </r>
        <r>
          <rPr>
            <sz val="9"/>
            <color indexed="81"/>
            <rFont val="Tahoma"/>
            <family val="2"/>
          </rPr>
          <t xml:space="preserve">
Bruges til at fremskrive værdier fra POLKA (åbningsbalancen) fra 2009-prisniveau til 2024-prisniveau</t>
        </r>
      </text>
    </comment>
    <comment ref="F28" authorId="0" shapeId="0" xr:uid="{CC05D7C0-4469-47EB-A471-C0D670D4D7BA}">
      <text>
        <r>
          <rPr>
            <b/>
            <sz val="9"/>
            <color indexed="81"/>
            <rFont val="Tahoma"/>
            <family val="2"/>
          </rPr>
          <t>Kim Peter van Pham:</t>
        </r>
        <r>
          <rPr>
            <sz val="9"/>
            <color indexed="81"/>
            <rFont val="Tahoma"/>
            <family val="2"/>
          </rPr>
          <t xml:space="preserve">
Bruges til at korrigere for, om der er udmeldt effektiviseringskrav til de omkostninger der indgår i den i økonomiske ramme.</t>
        </r>
      </text>
    </comment>
  </commentList>
</comments>
</file>

<file path=xl/sharedStrings.xml><?xml version="1.0" encoding="utf-8"?>
<sst xmlns="http://schemas.openxmlformats.org/spreadsheetml/2006/main" count="38" uniqueCount="29">
  <si>
    <t>Periode</t>
  </si>
  <si>
    <t>Enhedspris</t>
  </si>
  <si>
    <t>POLKA-afskriv. (2009-priser)</t>
  </si>
  <si>
    <t>POLKA-afskriv. /u krav (2024-priser)</t>
  </si>
  <si>
    <t>POLKA-afskriv. /m krav (2024-priser)</t>
  </si>
  <si>
    <t>I alt</t>
  </si>
  <si>
    <t>Fra</t>
  </si>
  <si>
    <t>Årlig indeks</t>
  </si>
  <si>
    <t>Fra år til 2017</t>
  </si>
  <si>
    <t>½</t>
  </si>
  <si>
    <t>Indi. Krav</t>
  </si>
  <si>
    <t>Gen. krav (anlæg)</t>
  </si>
  <si>
    <t>Krav til ØR</t>
  </si>
  <si>
    <t>Indi. Faktor</t>
  </si>
  <si>
    <t>Gen. faktor</t>
  </si>
  <si>
    <t>Estimeret omkostninger i ØR</t>
  </si>
  <si>
    <t>Oplyst udskiftet</t>
  </si>
  <si>
    <t xml:space="preserve">Afregningsmålere, mekaniske, </t>
  </si>
  <si>
    <t>Afregningsmålere, elektroniske ≤ Ø 110mm (Qn 10)</t>
  </si>
  <si>
    <t>Antal</t>
  </si>
  <si>
    <t>Standard levetid</t>
  </si>
  <si>
    <t>Anskaffelsespris (i kr.)</t>
  </si>
  <si>
    <t>Afskrivning (årets priser)</t>
  </si>
  <si>
    <t>Fra 2009 til 2024</t>
  </si>
  <si>
    <t>Afskrivning /u krav (2024-priser)</t>
  </si>
  <si>
    <t>I alt investeret</t>
  </si>
  <si>
    <t>Afskrivning /m krav (2024-priser)</t>
  </si>
  <si>
    <t>Fra åbningsbalancen (POLKA)</t>
  </si>
  <si>
    <t>Omkostninger indregnet i rammen ved overgang fra prisloft til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</si>
</sst>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6" formatCode="_ * #,##0.00_ ;_ * \-#,##0.00_ ;_ * &quot;-&quot;??_ ;_ @_ "/>
    <numFmt numFmtId="167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0" xfId="0" applyBorder="1" applyProtection="1">
      <protection locked="0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1" xfId="0" applyFont="1" applyBorder="1"/>
    <xf numFmtId="10" fontId="0" fillId="0" borderId="0" xfId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3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0" borderId="2" xfId="0" applyFont="1" applyBorder="1"/>
    <xf numFmtId="3" fontId="0" fillId="0" borderId="0" xfId="0" applyNumberFormat="1" applyFont="1"/>
    <xf numFmtId="0" fontId="5" fillId="0" borderId="0" xfId="3" applyFont="1" applyFill="1" applyBorder="1" applyAlignment="1" applyProtection="1"/>
    <xf numFmtId="0" fontId="0" fillId="0" borderId="0" xfId="0" applyFill="1" applyProtection="1">
      <protection locked="0"/>
    </xf>
    <xf numFmtId="0" fontId="2" fillId="0" borderId="0" xfId="0" applyFont="1" applyFill="1" applyBorder="1"/>
    <xf numFmtId="167" fontId="0" fillId="0" borderId="0" xfId="4" applyNumberFormat="1" applyFont="1" applyFill="1" applyBorder="1" applyProtection="1">
      <protection locked="0"/>
    </xf>
    <xf numFmtId="9" fontId="0" fillId="0" borderId="0" xfId="0" applyNumberFormat="1"/>
    <xf numFmtId="9" fontId="2" fillId="0" borderId="0" xfId="1" applyFont="1"/>
  </cellXfs>
  <cellStyles count="5">
    <cellStyle name="Komma 11" xfId="4" xr:uid="{67E078C6-AA65-4DC2-A8D0-33DF667E9309}"/>
    <cellStyle name="Link 2" xfId="3" xr:uid="{5006219D-6559-4DD0-8006-CFD09A3BC6D8}"/>
    <cellStyle name="Normal" xfId="0" builtinId="0"/>
    <cellStyle name="Normal 2" xfId="2" xr:uid="{27D189AB-FBDE-4083-9E18-16225337696D}"/>
    <cellStyle name="Procent" xfId="1" builtinId="5"/>
  </cellStyles>
  <dxfs count="26">
    <dxf>
      <numFmt numFmtId="167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numFmt numFmtId="167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numFmt numFmtId="167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numFmt numFmtId="3" formatCode="#,##0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numFmt numFmtId="13" formatCode="0%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0.0000"/>
    </dxf>
    <dxf>
      <numFmt numFmtId="164" formatCode="0.0000"/>
    </dxf>
    <dxf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0.0000"/>
      <alignment horizontal="center" vertical="bottom" textRotation="0" wrapText="0" indent="0" justifyLastLine="0" shrinkToFit="0" readingOrder="0"/>
    </dxf>
    <dxf>
      <protection locked="0" hidden="0"/>
    </dxf>
    <dxf>
      <border outline="0">
        <bottom style="thin">
          <color indexed="64"/>
        </bottom>
      </border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7DDD2C-E7D9-4E44-9053-1BC49E562518}" name="Tabel1" displayName="Tabel1" ref="A3:H4" totalsRowShown="0" headerRowDxfId="25">
  <autoFilter ref="A3:H4" xr:uid="{BE8D0919-DA81-4F46-B8C5-6EDC7CD49936}"/>
  <tableColumns count="8">
    <tableColumn id="1" xr3:uid="{165B09BF-42D2-4360-9525-90F93B753EF0}" name="Fra åbningsbalancen (POLKA)" dataDxfId="12" dataCellStyle="Link 2"/>
    <tableColumn id="2" xr3:uid="{686DD61E-7011-47BC-9F14-2F17C932D356}" name="Standard levetid"/>
    <tableColumn id="3" xr3:uid="{B5C79B3C-58CF-4424-A9AB-1393D6EAF288}" name="Periode"/>
    <tableColumn id="4" xr3:uid="{45C90058-233A-4ED9-92CA-C095E8A8FCF2}" name="Antal" dataDxfId="2" dataCellStyle="Komma 11"/>
    <tableColumn id="5" xr3:uid="{6DA282ED-0ADF-402B-982D-A6FEC4F63220}" name="Enhedspris" dataDxfId="1" dataCellStyle="Komma 11"/>
    <tableColumn id="6" xr3:uid="{7E403791-769F-4483-8C5F-991650A58AD9}" name="POLKA-afskriv. (2009-priser)" dataDxfId="0" dataCellStyle="Komma 11">
      <calculatedColumnFormula>Tabel1[[#This Row],[Antal]]*Tabel1[[#This Row],[Enhedspris]]/Tabel1[Standard levetid]</calculatedColumnFormula>
    </tableColumn>
    <tableColumn id="7" xr3:uid="{4C2B76D3-6F17-4AB0-B5D5-5F5E993D3E9D}" name="POLKA-afskriv. /u krav (2024-priser)" dataDxfId="24"/>
    <tableColumn id="8" xr3:uid="{A28741E4-7324-41E2-93EA-5F7EE7354A0D}" name="POLKA-afskriv. /m krav (2024-priser)" dataDxfId="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9B2FD9-17E1-4CDE-A9E9-7EE9BE238E0D}" name="Tabel4" displayName="Tabel4" ref="A10:H13" totalsRowShown="0" headerRowDxfId="7">
  <autoFilter ref="A10:H13" xr:uid="{FD19FE66-1FBC-42C6-8E85-FBF4ABB7B38A}"/>
  <tableColumns count="8">
    <tableColumn id="1" xr3:uid="{E5E2D033-7F23-46CE-BAF7-84AD41421D7D}" name="Omkostninger indregnet i rammen ved overgang fra prisloft til indtægtsrammer" dataDxfId="10"/>
    <tableColumn id="2" xr3:uid="{4E3B6C68-9E0D-45FA-B1DD-27D180CA9852}" name="Standard levetid"/>
    <tableColumn id="3" xr3:uid="{5DA460C1-E068-4EA3-91C4-4CDECA488037}" name="Periode"/>
    <tableColumn id="4" xr3:uid="{E454C6F0-99B2-4395-A348-9E52DE2A9D2D}" name="Antal" dataDxfId="9"/>
    <tableColumn id="5" xr3:uid="{2193FFD5-CC3C-4D96-96EC-ED4EAD8D7170}" name="Anskaffelsespris (i kr.)" dataDxfId="8" dataCellStyle="Komma 11"/>
    <tableColumn id="6" xr3:uid="{E3B2A046-AF6F-49B8-9C45-74402E02E4A2}" name="Afskrivning (årets priser)" dataDxfId="6" dataCellStyle="Komma 11">
      <calculatedColumnFormula>Tabel4[[#This Row],[Anskaffelsespris (i kr.)]]/Tabel4[[#This Row],[Standard levetid]]*Tabel4[[#This Row],[Antal]]</calculatedColumnFormula>
    </tableColumn>
    <tableColumn id="7" xr3:uid="{F0A4FD76-2BA4-47C2-BD05-86B51CE7E0AC}" name="Afskrivning /u krav (2024-priser)" dataDxfId="4">
      <calculatedColumnFormula>Tabel4[[#This Row],[Afskrivning (årets priser)]]*VLOOKUP(Tabel4[[#This Row],[Periode]],Tabel2[#All],4,0)</calculatedColumnFormula>
    </tableColumn>
    <tableColumn id="8" xr3:uid="{96B94DD8-15AF-4A9C-A32F-291F329D0692}" name="Afskrivning /m krav (2024-priser)" dataDxfId="3">
      <calculatedColumnFormula>Tabel4[[#This Row],[Afskrivning /u krav (2024-priser)]]*'Priskorrektion og krav'!$F$28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321A93-DCA7-49AC-8E9D-493778C3F272}" name="Tabel2" displayName="Tabel2" ref="A1:D16" totalsRowShown="0" headerRowBorderDxfId="22">
  <autoFilter ref="A1:D16" xr:uid="{5675F464-3E59-4685-BF56-A2129A51D053}"/>
  <tableColumns count="4">
    <tableColumn id="1" xr3:uid="{0E6A80A7-6EEE-4D6B-94DE-01D7BDB705BB}" name="Fra" dataDxfId="21"/>
    <tableColumn id="2" xr3:uid="{60934A54-64F7-44CD-B1DA-8EEE926C164E}" name="Årlig indeks"/>
    <tableColumn id="3" xr3:uid="{D4E644D1-809F-46AA-908A-1E1054ABD756}" name="Fra 2009 til 2024" dataDxfId="20">
      <calculatedColumnFormula>PRODUCT($B$2:B2)</calculatedColumnFormula>
    </tableColumn>
    <tableColumn id="4" xr3:uid="{1FEC0787-DF04-4E8D-BC02-A93336567F81}" name="Fra år til 2017" dataDxfId="5">
      <calculatedColumnFormula>$C$16/PRODUCT($B$2:B2)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4A5477-6C7D-4166-8698-49F97DE11162}" name="Tabel3" displayName="Tabel3" ref="A20:F28" totalsRowShown="0" headerRowDxfId="19" headerRowBorderDxfId="18">
  <autoFilter ref="A20:F28" xr:uid="{4E5155D9-6F43-4550-AC2C-26A062BE2847}"/>
  <tableColumns count="6">
    <tableColumn id="1" xr3:uid="{D76BA756-FF89-467F-8066-7E5903E398DF}" name="Fra" dataDxfId="17"/>
    <tableColumn id="2" xr3:uid="{DDFEA3D3-1F4F-4751-85C8-0A953C79B9E4}" name="Indi. Krav" dataDxfId="11" dataCellStyle="Procent"/>
    <tableColumn id="3" xr3:uid="{945218C8-6346-4418-843A-D54DBBA7D365}" name="Gen. krav (anlæg)" dataDxfId="16" dataCellStyle="Procent"/>
    <tableColumn id="4" xr3:uid="{32157435-864B-4985-87EE-619B243CC11A}" name="Indi. Faktor" dataDxfId="15">
      <calculatedColumnFormula>1-B21</calculatedColumnFormula>
    </tableColumn>
    <tableColumn id="5" xr3:uid="{96818CC4-B019-46E9-9314-AC9A35D4568C}" name="Gen. faktor" dataDxfId="14">
      <calculatedColumnFormula>1-C21</calculatedColumnFormula>
    </tableColumn>
    <tableColumn id="6" xr3:uid="{3AC59B1B-F619-47DC-90C2-9E8F90600010}" name="Krav til ØR" dataDxfId="13">
      <calculatedColumnFormula>PRODUCT($D$21:E21)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0B53-66EB-4951-9729-62F3A3FAE215}">
  <dimension ref="A1:XFD25"/>
  <sheetViews>
    <sheetView tabSelected="1" workbookViewId="0">
      <selection activeCell="E7" sqref="E7"/>
    </sheetView>
  </sheetViews>
  <sheetFormatPr defaultColWidth="0" defaultRowHeight="15" zeroHeight="1" x14ac:dyDescent="0.25"/>
  <cols>
    <col min="1" max="1" width="75.5703125" bestFit="1" customWidth="1"/>
    <col min="2" max="2" width="17.7109375" customWidth="1"/>
    <col min="3" max="3" width="10.5703125" customWidth="1"/>
    <col min="4" max="4" width="15.28515625" bestFit="1" customWidth="1"/>
    <col min="5" max="5" width="22.85546875" customWidth="1"/>
    <col min="6" max="6" width="27.85546875" customWidth="1"/>
    <col min="7" max="7" width="34.42578125" customWidth="1"/>
    <col min="8" max="8" width="35" customWidth="1"/>
    <col min="9" max="10" width="9.140625" customWidth="1"/>
    <col min="11" max="16384" width="9.140625" hidden="1"/>
  </cols>
  <sheetData>
    <row r="1" spans="1:16384" x14ac:dyDescent="0.25"/>
    <row r="2" spans="1:1638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  <c r="XFC2" s="18"/>
      <c r="XFD2" s="18"/>
    </row>
    <row r="3" spans="1:16384" x14ac:dyDescent="0.25">
      <c r="A3" s="1" t="s">
        <v>27</v>
      </c>
      <c r="B3" s="1" t="s">
        <v>20</v>
      </c>
      <c r="C3" s="1" t="s">
        <v>0</v>
      </c>
      <c r="D3" s="1" t="s">
        <v>19</v>
      </c>
      <c r="E3" s="1" t="s">
        <v>1</v>
      </c>
      <c r="F3" s="2" t="s">
        <v>2</v>
      </c>
      <c r="G3" s="2" t="s">
        <v>3</v>
      </c>
      <c r="H3" s="2" t="s">
        <v>4</v>
      </c>
    </row>
    <row r="4" spans="1:16384" x14ac:dyDescent="0.25">
      <c r="A4" s="18" t="s">
        <v>17</v>
      </c>
      <c r="B4">
        <v>8</v>
      </c>
      <c r="C4">
        <v>2009</v>
      </c>
      <c r="D4" s="21">
        <v>157</v>
      </c>
      <c r="E4" s="21">
        <v>1300</v>
      </c>
      <c r="F4" s="21">
        <f>Tabel1[[#This Row],[Antal]]*Tabel1[[#This Row],[Enhedspris]]/Tabel1[Standard levetid]</f>
        <v>25512.5</v>
      </c>
      <c r="G4" s="3">
        <f>Tabel1[[#This Row],[POLKA-afskriv. (2009-priser)]]*'Priskorrektion og krav'!$C$16</f>
        <v>32697.885291552695</v>
      </c>
      <c r="H4" s="3">
        <f>Tabel1[[#This Row],[POLKA-afskriv. /u krav (2024-priser)]]*'Priskorrektion og krav'!$F$28</f>
        <v>30476.846765526807</v>
      </c>
    </row>
    <row r="5" spans="1:16384" x14ac:dyDescent="0.25"/>
    <row r="6" spans="1:16384" x14ac:dyDescent="0.25">
      <c r="D6" s="1" t="s">
        <v>16</v>
      </c>
      <c r="H6" s="15" t="s">
        <v>15</v>
      </c>
    </row>
    <row r="7" spans="1:16384" x14ac:dyDescent="0.25">
      <c r="C7" s="1" t="s">
        <v>5</v>
      </c>
      <c r="D7" s="12">
        <f>SUM(Tabel1[Antal])</f>
        <v>157</v>
      </c>
      <c r="E7" s="12"/>
      <c r="F7" s="13">
        <f>SUM(Tabel1[POLKA-afskriv. (2009-priser)])</f>
        <v>25512.5</v>
      </c>
      <c r="G7" s="13">
        <f>SUM(Tabel1[POLKA-afskriv. /u krav (2024-priser)])</f>
        <v>32697.885291552695</v>
      </c>
      <c r="H7" s="14">
        <f>SUM(Tabel1[POLKA-afskriv. /m krav (2024-priser)])</f>
        <v>30476.846765526807</v>
      </c>
    </row>
    <row r="8" spans="1:16384" x14ac:dyDescent="0.25"/>
    <row r="9" spans="1:16384" x14ac:dyDescent="0.25"/>
    <row r="10" spans="1:16384" x14ac:dyDescent="0.25">
      <c r="A10" s="16" t="s">
        <v>28</v>
      </c>
      <c r="B10" s="16" t="s">
        <v>20</v>
      </c>
      <c r="C10" s="16" t="s">
        <v>0</v>
      </c>
      <c r="D10" s="20" t="s">
        <v>19</v>
      </c>
      <c r="E10" s="20" t="s">
        <v>21</v>
      </c>
      <c r="F10" s="20" t="s">
        <v>22</v>
      </c>
      <c r="G10" s="20" t="s">
        <v>24</v>
      </c>
      <c r="H10" s="20" t="s">
        <v>26</v>
      </c>
    </row>
    <row r="11" spans="1:16384" x14ac:dyDescent="0.25">
      <c r="A11" s="19" t="s">
        <v>18</v>
      </c>
      <c r="B11">
        <v>10</v>
      </c>
      <c r="C11">
        <v>2013</v>
      </c>
      <c r="D11" s="22">
        <v>1</v>
      </c>
      <c r="E11" s="21">
        <v>2713000</v>
      </c>
      <c r="F11" s="21">
        <f>Tabel4[[#This Row],[Anskaffelsespris (i kr.)]]/Tabel4[[#This Row],[Standard levetid]]*Tabel4[[#This Row],[Antal]]</f>
        <v>271300</v>
      </c>
      <c r="G11" s="3">
        <f>Tabel4[[#This Row],[Afskrivning (årets priser)]]*VLOOKUP(Tabel4[[#This Row],[Periode]],Tabel2[#All],4,0)</f>
        <v>324430.72034576349</v>
      </c>
      <c r="H11" s="3">
        <f>Tabel4[[#This Row],[Afskrivning /u krav (2024-priser)]]*'Priskorrektion og krav'!$F$28</f>
        <v>302393.41969193716</v>
      </c>
    </row>
    <row r="12" spans="1:16384" x14ac:dyDescent="0.25">
      <c r="A12" s="19" t="s">
        <v>18</v>
      </c>
      <c r="B12">
        <v>10</v>
      </c>
      <c r="C12">
        <v>2014</v>
      </c>
      <c r="D12" s="22">
        <v>1</v>
      </c>
      <c r="E12" s="21">
        <v>5694000</v>
      </c>
      <c r="F12" s="21">
        <f>Tabel4[[#This Row],[Anskaffelsespris (i kr.)]]/Tabel4[[#This Row],[Standard levetid]]*Tabel4[[#This Row],[Antal]]</f>
        <v>569400</v>
      </c>
      <c r="G12" s="3">
        <f>Tabel4[[#This Row],[Afskrivning (årets priser)]]*VLOOKUP(Tabel4[[#This Row],[Periode]],Tabel2[#All],4,0)</f>
        <v>670847.17866313364</v>
      </c>
      <c r="H12" s="3">
        <f>Tabel4[[#This Row],[Afskrivning /u krav (2024-priser)]]*'Priskorrektion og krav'!$F$28</f>
        <v>625279.17279360665</v>
      </c>
    </row>
    <row r="13" spans="1:16384" x14ac:dyDescent="0.25">
      <c r="A13" s="19" t="s">
        <v>18</v>
      </c>
      <c r="B13">
        <v>10</v>
      </c>
      <c r="C13">
        <v>2015</v>
      </c>
      <c r="D13" s="22">
        <v>1</v>
      </c>
      <c r="E13" s="21">
        <v>2175000</v>
      </c>
      <c r="F13" s="21">
        <f>Tabel4[[#This Row],[Anskaffelsespris (i kr.)]]/Tabel4[[#This Row],[Standard levetid]]*Tabel4[[#This Row],[Antal]]</f>
        <v>217500</v>
      </c>
      <c r="G13" s="3">
        <f>Tabel4[[#This Row],[Afskrivning (årets priser)]]*VLOOKUP(Tabel4[[#This Row],[Periode]],Tabel2[#All],4,0)</f>
        <v>256046.06121781815</v>
      </c>
      <c r="H13" s="3">
        <f>Tabel4[[#This Row],[Afskrivning /u krav (2024-priser)]]*'Priskorrektion og krav'!$F$28</f>
        <v>238653.86103939026</v>
      </c>
    </row>
    <row r="14" spans="1:16384" x14ac:dyDescent="0.25"/>
    <row r="15" spans="1:16384" x14ac:dyDescent="0.25">
      <c r="D15" s="1" t="s">
        <v>16</v>
      </c>
      <c r="E15" s="1" t="s">
        <v>25</v>
      </c>
      <c r="H15" s="15" t="s">
        <v>15</v>
      </c>
    </row>
    <row r="16" spans="1:16384" x14ac:dyDescent="0.25">
      <c r="C16" s="1" t="s">
        <v>5</v>
      </c>
      <c r="D16" s="23">
        <v>1</v>
      </c>
      <c r="E16" s="13">
        <f>SUM(Tabel4[Anskaffelsespris (i kr.)])</f>
        <v>10582000</v>
      </c>
      <c r="F16" s="13">
        <f>SUM(Tabel4[Afskrivning (årets priser)])</f>
        <v>1058200</v>
      </c>
      <c r="G16" s="13">
        <f>SUM(Tabel4[Afskrivning /u krav (2024-priser)])</f>
        <v>1251323.9602267153</v>
      </c>
      <c r="H16" s="14">
        <f>SUM(Tabel4[Afskrivning /m krav (2024-priser)])</f>
        <v>1166326.4535249341</v>
      </c>
    </row>
    <row r="17" spans="8:8" x14ac:dyDescent="0.25"/>
    <row r="18" spans="8:8" x14ac:dyDescent="0.25">
      <c r="H18" s="17"/>
    </row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888F-0D75-46BA-8331-BC7C92DB4516}">
  <dimension ref="A1:P28"/>
  <sheetViews>
    <sheetView workbookViewId="0">
      <selection activeCell="A3" sqref="A3"/>
    </sheetView>
  </sheetViews>
  <sheetFormatPr defaultColWidth="0" defaultRowHeight="15" x14ac:dyDescent="0.25"/>
  <cols>
    <col min="1" max="1" width="8.42578125" customWidth="1"/>
    <col min="2" max="2" width="13.5703125" customWidth="1"/>
    <col min="3" max="3" width="18.85546875" customWidth="1"/>
    <col min="4" max="4" width="14.85546875" bestFit="1" customWidth="1"/>
    <col min="5" max="5" width="13.28515625" bestFit="1" customWidth="1"/>
    <col min="6" max="6" width="13.7109375" customWidth="1"/>
    <col min="7" max="7" width="9.140625" customWidth="1"/>
    <col min="8" max="8" width="17.7109375" hidden="1" customWidth="1"/>
    <col min="9" max="16" width="0" hidden="1" customWidth="1"/>
    <col min="17" max="16384" width="9.140625" hidden="1"/>
  </cols>
  <sheetData>
    <row r="1" spans="1:8" x14ac:dyDescent="0.25">
      <c r="A1" s="4" t="s">
        <v>6</v>
      </c>
      <c r="B1" s="8" t="s">
        <v>7</v>
      </c>
      <c r="C1" s="8" t="s">
        <v>23</v>
      </c>
      <c r="D1" s="4" t="s">
        <v>8</v>
      </c>
      <c r="H1" t="s">
        <v>9</v>
      </c>
    </row>
    <row r="2" spans="1:8" x14ac:dyDescent="0.25">
      <c r="A2" s="5">
        <v>2010</v>
      </c>
      <c r="B2" s="7">
        <f>1.0111</f>
        <v>1.0111000000000001</v>
      </c>
      <c r="C2" s="6">
        <f>PRODUCT($B$2:B2)</f>
        <v>1.0111000000000001</v>
      </c>
      <c r="D2">
        <f>$C$16/PRODUCT($B$2:B2)</f>
        <v>1.2675717096932599</v>
      </c>
    </row>
    <row r="3" spans="1:8" x14ac:dyDescent="0.25">
      <c r="A3" s="5">
        <v>2011</v>
      </c>
      <c r="B3" s="7">
        <v>1.0049999999999999</v>
      </c>
      <c r="C3" s="6">
        <f>PRODUCT($B$2:B3)</f>
        <v>1.0161555</v>
      </c>
      <c r="D3">
        <f>$C$16/PRODUCT($B$2:B3)</f>
        <v>1.2612653827793632</v>
      </c>
    </row>
    <row r="4" spans="1:8" x14ac:dyDescent="0.25">
      <c r="A4" s="5">
        <v>2012</v>
      </c>
      <c r="B4" s="7">
        <v>1.0229999999999999</v>
      </c>
      <c r="C4" s="6">
        <f>PRODUCT($B$2:B4)</f>
        <v>1.0395270765</v>
      </c>
      <c r="D4">
        <f>$C$16/PRODUCT($B$2:B4)</f>
        <v>1.23290848756536</v>
      </c>
    </row>
    <row r="5" spans="1:8" x14ac:dyDescent="0.25">
      <c r="A5" s="5">
        <v>2013</v>
      </c>
      <c r="B5" s="7">
        <v>1.0309999999999999</v>
      </c>
      <c r="C5" s="6">
        <f>PRODUCT($B$2:B5)</f>
        <v>1.0717524158714999</v>
      </c>
      <c r="D5">
        <f>$C$16/PRODUCT($B$2:B5)</f>
        <v>1.1958375243116974</v>
      </c>
    </row>
    <row r="6" spans="1:8" x14ac:dyDescent="0.25">
      <c r="A6" s="5">
        <v>2014</v>
      </c>
      <c r="B6" s="7">
        <v>1.0149999999999999</v>
      </c>
      <c r="C6" s="6">
        <f>PRODUCT($B$2:B6)</f>
        <v>1.0878287021095723</v>
      </c>
      <c r="D6">
        <f>$C$16/PRODUCT($B$2:B6)</f>
        <v>1.1781650485829533</v>
      </c>
    </row>
    <row r="7" spans="1:8" x14ac:dyDescent="0.25">
      <c r="A7" s="5">
        <v>2015</v>
      </c>
      <c r="B7" s="7">
        <v>1.0007999999999999</v>
      </c>
      <c r="C7" s="6">
        <f>PRODUCT($B$2:B7)</f>
        <v>1.0886989650712597</v>
      </c>
      <c r="D7">
        <f>$C$16/PRODUCT($B$2:B7)</f>
        <v>1.17722326996698</v>
      </c>
    </row>
    <row r="8" spans="1:8" x14ac:dyDescent="0.25">
      <c r="A8" s="5">
        <v>2016</v>
      </c>
      <c r="B8" s="7">
        <v>0.99619999999999986</v>
      </c>
      <c r="C8" s="6">
        <f>PRODUCT($B$2:B8)</f>
        <v>1.0845619090039889</v>
      </c>
      <c r="D8">
        <f>$C$16/PRODUCT($B$2:B8)</f>
        <v>1.1817137823398716</v>
      </c>
    </row>
    <row r="9" spans="1:8" x14ac:dyDescent="0.25">
      <c r="A9" s="5">
        <v>2017</v>
      </c>
      <c r="B9" s="7">
        <v>1.0126999999999999</v>
      </c>
      <c r="C9" s="6">
        <f>PRODUCT($B$2:B9)</f>
        <v>1.0983358452483394</v>
      </c>
      <c r="D9">
        <f>$C$16/PRODUCT($B$2:B9)</f>
        <v>1.1668942256738142</v>
      </c>
    </row>
    <row r="10" spans="1:8" x14ac:dyDescent="0.25">
      <c r="A10" s="5">
        <v>2018</v>
      </c>
      <c r="B10">
        <v>1.0175000000000001</v>
      </c>
      <c r="C10" s="6">
        <f>PRODUCT($B$2:B10)</f>
        <v>1.1175567225401855</v>
      </c>
      <c r="D10">
        <f>$C$16/PRODUCT($B$2:B10)</f>
        <v>1.1468247918170162</v>
      </c>
    </row>
    <row r="11" spans="1:8" x14ac:dyDescent="0.25">
      <c r="A11" s="5">
        <v>2019</v>
      </c>
      <c r="B11">
        <v>1.0168999999999999</v>
      </c>
      <c r="C11" s="6">
        <f>PRODUCT($B$2:B11)</f>
        <v>1.1364434311511145</v>
      </c>
      <c r="D11">
        <f>$C$16/PRODUCT($B$2:B11)</f>
        <v>1.1277655539551741</v>
      </c>
    </row>
    <row r="12" spans="1:8" x14ac:dyDescent="0.25">
      <c r="A12" s="5">
        <v>2020</v>
      </c>
      <c r="B12">
        <v>1.0168999999999999</v>
      </c>
      <c r="C12" s="6">
        <f>PRODUCT($B$2:B12)</f>
        <v>1.1556493251375681</v>
      </c>
      <c r="D12">
        <f>$C$16/PRODUCT($B$2:B12)</f>
        <v>1.1090230641706895</v>
      </c>
    </row>
    <row r="13" spans="1:8" x14ac:dyDescent="0.25">
      <c r="A13" s="5">
        <v>2021</v>
      </c>
      <c r="B13">
        <v>1.0168999999999999</v>
      </c>
      <c r="C13" s="6">
        <f>PRODUCT($B$2:B13)</f>
        <v>1.1751797987323929</v>
      </c>
      <c r="D13">
        <f>$C$16/PRODUCT($B$2:B13)</f>
        <v>1.0905920583840001</v>
      </c>
    </row>
    <row r="14" spans="1:8" x14ac:dyDescent="0.25">
      <c r="A14" s="5">
        <v>2022</v>
      </c>
      <c r="B14">
        <v>1.0168999999999999</v>
      </c>
      <c r="C14" s="6">
        <f>PRODUCT($B$2:B14)</f>
        <v>1.1950403373309701</v>
      </c>
      <c r="D14">
        <f>$C$16/PRODUCT($B$2:B14)</f>
        <v>1.0724673600000003</v>
      </c>
    </row>
    <row r="15" spans="1:8" x14ac:dyDescent="0.25">
      <c r="A15" s="5">
        <v>2023</v>
      </c>
      <c r="B15">
        <v>1.0356000000000001</v>
      </c>
      <c r="C15" s="6">
        <f>PRODUCT($B$2:B15)</f>
        <v>1.2375837733399528</v>
      </c>
      <c r="D15">
        <f>$C$16/PRODUCT($B$2:B15)</f>
        <v>1.0356000000000001</v>
      </c>
    </row>
    <row r="16" spans="1:8" x14ac:dyDescent="0.25">
      <c r="A16" s="5">
        <v>2024</v>
      </c>
      <c r="B16">
        <v>1.0356000000000001</v>
      </c>
      <c r="C16" s="11">
        <f>PRODUCT($B$2:B16)</f>
        <v>1.2816417556708553</v>
      </c>
      <c r="D16">
        <f>$C$16/PRODUCT($B$2:B16)</f>
        <v>1</v>
      </c>
    </row>
    <row r="20" spans="1:6" x14ac:dyDescent="0.25">
      <c r="A20" s="4" t="s">
        <v>6</v>
      </c>
      <c r="B20" s="8" t="s">
        <v>10</v>
      </c>
      <c r="C20" s="8" t="s">
        <v>11</v>
      </c>
      <c r="D20" s="8" t="s">
        <v>13</v>
      </c>
      <c r="E20" s="8" t="s">
        <v>14</v>
      </c>
      <c r="F20" s="4" t="s">
        <v>12</v>
      </c>
    </row>
    <row r="21" spans="1:6" x14ac:dyDescent="0.25">
      <c r="A21" s="5">
        <v>2017</v>
      </c>
      <c r="B21" s="9">
        <v>4.1865583005419619E-3</v>
      </c>
      <c r="C21" s="9">
        <v>9.1000000000000004E-3</v>
      </c>
      <c r="D21" s="7">
        <f>1-B21</f>
        <v>0.99581344169945807</v>
      </c>
      <c r="E21" s="7">
        <f>1-C21</f>
        <v>0.9909</v>
      </c>
      <c r="F21" s="7">
        <f>PRODUCT($D$21:E21)</f>
        <v>0.98675153937999305</v>
      </c>
    </row>
    <row r="22" spans="1:6" x14ac:dyDescent="0.25">
      <c r="A22" s="5">
        <v>2018</v>
      </c>
      <c r="B22" s="9">
        <v>4.1865583005419619E-3</v>
      </c>
      <c r="C22" s="9">
        <v>1.77E-2</v>
      </c>
      <c r="D22" s="7">
        <f t="shared" ref="D22:D28" si="0">1-B22</f>
        <v>0.99581344169945807</v>
      </c>
      <c r="E22" s="7">
        <f t="shared" ref="E22:E28" si="1">1-C22</f>
        <v>0.98229999999999995</v>
      </c>
      <c r="F22" s="7">
        <f>PRODUCT($D$21:E22)</f>
        <v>0.96522806462860877</v>
      </c>
    </row>
    <row r="23" spans="1:6" x14ac:dyDescent="0.25">
      <c r="A23" s="5">
        <v>2019</v>
      </c>
      <c r="B23" s="9">
        <v>0</v>
      </c>
      <c r="C23" s="9">
        <v>8.6999999999999994E-3</v>
      </c>
      <c r="D23" s="7">
        <f t="shared" si="0"/>
        <v>1</v>
      </c>
      <c r="E23" s="7">
        <f t="shared" si="1"/>
        <v>0.99129999999999996</v>
      </c>
      <c r="F23" s="7">
        <f>PRODUCT($D$21:E23)</f>
        <v>0.95683058046633984</v>
      </c>
    </row>
    <row r="24" spans="1:6" x14ac:dyDescent="0.25">
      <c r="A24" s="5">
        <v>2020</v>
      </c>
      <c r="B24" s="9">
        <v>0</v>
      </c>
      <c r="C24" s="9">
        <v>8.6999999999999994E-3</v>
      </c>
      <c r="D24" s="7">
        <f t="shared" si="0"/>
        <v>1</v>
      </c>
      <c r="E24" s="7">
        <f t="shared" si="1"/>
        <v>0.99129999999999996</v>
      </c>
      <c r="F24" s="7">
        <f>PRODUCT($D$21:E24)</f>
        <v>0.94850615441628261</v>
      </c>
    </row>
    <row r="25" spans="1:6" x14ac:dyDescent="0.25">
      <c r="A25" s="5">
        <v>2021</v>
      </c>
      <c r="B25" s="9">
        <v>0</v>
      </c>
      <c r="C25" s="9">
        <v>8.6999999999999994E-3</v>
      </c>
      <c r="D25" s="7">
        <f t="shared" si="0"/>
        <v>1</v>
      </c>
      <c r="E25" s="7">
        <f t="shared" si="1"/>
        <v>0.99129999999999996</v>
      </c>
      <c r="F25" s="7">
        <f>PRODUCT($D$21:E25)</f>
        <v>0.94025415087286091</v>
      </c>
    </row>
    <row r="26" spans="1:6" x14ac:dyDescent="0.25">
      <c r="A26" s="5">
        <v>2022</v>
      </c>
      <c r="B26" s="9">
        <v>0</v>
      </c>
      <c r="C26" s="9">
        <v>8.6999999999999994E-3</v>
      </c>
      <c r="D26" s="7">
        <f t="shared" si="0"/>
        <v>1</v>
      </c>
      <c r="E26" s="7">
        <f t="shared" si="1"/>
        <v>0.99129999999999996</v>
      </c>
      <c r="F26" s="7">
        <f>PRODUCT($D$21:E26)</f>
        <v>0.93207393976026698</v>
      </c>
    </row>
    <row r="27" spans="1:6" x14ac:dyDescent="0.25">
      <c r="A27" s="5">
        <v>2023</v>
      </c>
      <c r="B27" s="9">
        <v>0</v>
      </c>
      <c r="C27" s="9">
        <v>0</v>
      </c>
      <c r="D27" s="7">
        <f t="shared" si="0"/>
        <v>1</v>
      </c>
      <c r="E27" s="7">
        <f t="shared" si="1"/>
        <v>1</v>
      </c>
      <c r="F27" s="7">
        <f>PRODUCT($D$21:E27)</f>
        <v>0.93207393976026698</v>
      </c>
    </row>
    <row r="28" spans="1:6" x14ac:dyDescent="0.25">
      <c r="A28" s="5">
        <v>2024</v>
      </c>
      <c r="B28" s="9">
        <v>0</v>
      </c>
      <c r="C28" s="9">
        <v>0</v>
      </c>
      <c r="D28" s="7">
        <f t="shared" si="0"/>
        <v>1</v>
      </c>
      <c r="E28" s="7">
        <f t="shared" si="1"/>
        <v>1</v>
      </c>
      <c r="F28" s="10">
        <f>PRODUCT($D$21:E28)</f>
        <v>0.93207393976026698</v>
      </c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Opgørelse af omkostninger i ØR</vt:lpstr>
      <vt:lpstr>Priskorrektion og krav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Peter van Pham</dc:creator>
  <cp:lastModifiedBy>Kim Peter van Pham</cp:lastModifiedBy>
  <dcterms:created xsi:type="dcterms:W3CDTF">2025-09-01T09:31:02Z</dcterms:created>
  <dcterms:modified xsi:type="dcterms:W3CDTF">2025-09-04T09:35:22Z</dcterms:modified>
</cp:coreProperties>
</file>