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Frederikssund AS (V05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37" l="1"/>
  <c r="E14" i="37"/>
  <c r="C15" i="19"/>
  <c r="E11" i="11" l="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2" i="11" l="1"/>
  <c r="C10" i="37" s="1"/>
  <c r="C15" i="37" s="1"/>
  <c r="C10" i="2" s="1"/>
  <c r="G12" i="11"/>
  <c r="E11" i="21" l="1"/>
  <c r="C11" i="21"/>
  <c r="E11" i="29"/>
  <c r="C11" i="29"/>
  <c r="C16" i="19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5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<sst xmlns="http://schemas.openxmlformats.org/spreadsheetml/2006/main" count="604" uniqueCount="247">
  <si>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</si>
  <si>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</si>
  <si>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</si>
  <si>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</si>
  <si>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</si>
  <si>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</si>
  <si>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</si>
  <si>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</si>
  <si>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</si>
  <si>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</si>
  <si>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</si>
  <si>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</si>
  <si>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</si>
  <si>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</si>
  <si>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</si>
  <si>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</si>
  <si>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</si>
  <si>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</si>
  <si>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</si>
  <si>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</si>
  <si>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</si>
  <si>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</si>
  <si>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</si>
  <si>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</si>
  <si>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</si>
  <si>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</si>
  <si>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</si>
  <si>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</si>
  <si>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</si>
  <si>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</si>
  <si>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</si>
  <si>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</si>
  <si>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</si>
  <si>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</si>
  <si>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</si>
  <si>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</si>
  <si>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</si>
  <si>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</si>
  <si>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</si>
  <si>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</si>
  <si>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</si>
  <si>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</si>
  <si>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</si>
  <si>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</si>
  <si>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</si>
  <si>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</si>
  <si>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</si>
  <si>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</si>
  <si>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</si>
  <si>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</si>
  <si>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</si>
  <si>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</si>
  <si>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</si>
  <si>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</si>
  <si>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</si>
  <si>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</si>
  <si>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</si>
  <si>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</si>
  <si>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</si>
  <si>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</si>
  <si>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</si>
  <si>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</si>
  <si>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</si>
  <si>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</si>
  <si>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</si>
  <si>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</si>
  <si>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</si>
  <si>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</si>
  <si>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</si>
  <si>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</si>
  <si>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</si>
  <si>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</si>
  <si>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</si>
  <si>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</si>
  <si>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</si>
  <si>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</si>
  <si>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</si>
  <si>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</si>
  <si>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</si>
  <si>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</si>
  <si>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</si>
  <si>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</si>
  <si>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</si>
  <si>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</si>
  <si>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</si>
  <si>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</si>
  <si>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</si>
  <si>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</si>
  <si>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</si>
  <si>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</si>
  <si>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</si>
  <si>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</si>
  <si>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</si>
  <si>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</si>
  <si>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</si>
  <si>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</si>
  <si>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</si>
  <si>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</si>
  <si>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</si>
  <si>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</si>
  <si>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</si>
  <si>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</si>
  <si>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</si>
  <si>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</si>
  <si>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</si>
  <si>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</si>
  <si>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</si>
  <si>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</si>
  <si>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</si>
  <si>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</si>
  <si>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</si>
  <si>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</si>
  <si>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</si>
  <si>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</si>
  <si>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</si>
  <si>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</si>
  <si>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</si>
  <si>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</si>
  <si>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</si>
  <si>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</si>
  <si>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</si>
  <si>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</si>
  <si>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</si>
  <si>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</si>
  <si>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</si>
  <si>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</si>
  <si>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</si>
  <si>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</si>
  <si>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</si>
  <si>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</si>
  <si>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</si>
  <si>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</si>
  <si>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</si>
  <si>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</si>
  <si>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</si>
  <si>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</si>
  <si>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</si>
  <si>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</si>
  <si>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</si>
  <si>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</si>
  <si>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</si>
  <si>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</si>
  <si>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</si>
  <si>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</si>
  <si>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</si>
  <si>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</si>
  <si>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</si>
  <si>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</si>
  <si>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</si>
  <si>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</si>
  <si>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</si>
  <si>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</si>
  <si>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</si>
  <si>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</si>
  <si>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</si>
  <si>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</si>
  <si>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</si>
  <si>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</si>
  <si>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</si>
  <si>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</si>
  <si>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</si>
  <si>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</si>
  <si>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</si>
  <si>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</si>
  <si>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</si>
  <si>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</si>
  <si>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</si>
  <si>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</si>
  <si>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</si>
  <si>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</si>
  <si>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</si>
  <si>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</si>
  <si>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</si>
  <si>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</si>
  <si>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</si>
  <si>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</si>
  <si>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</si>
  <si>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</si>
  <si>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</si>
  <si>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</si>
  <si>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</si>
  <si>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</si>
  <si>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</si>
  <si>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</si>
  <si>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</si>
  <si>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</si>
  <si>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</si>
  <si>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</si>
  <si>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</si>
  <si>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</si>
  <si>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</si>
  <si>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</si>
  <si>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</si>
  <si>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</si>
  <si>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</si>
  <si>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</si>
  <si>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</si>
  <si>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</si>
  <si>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</si>
  <si>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</si>
  <si>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</si>
  <si>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</si>
  <si>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</si>
  <si>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</si>
  <si>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</si>
  <si>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</si>
  <si>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</si>
  <si>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</si>
  <si>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</si>
  <si>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</si>
  <si>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</si>
  <si>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</si>
  <si>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</si>
  <si>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</si>
  <si>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</si>
  <si>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</si>
  <si>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</si>
  <si>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</si>
  <si>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</si>
  <si>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</si>
  <si>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</si>
  <si>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</si>
  <si>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</si>
  <si>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</si>
  <si>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</si>
  <si>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</si>
  <si>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</si>
  <si>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</si>
  <si>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</si>
  <si>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</si>
  <si>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</si>
  <si>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</si>
  <si>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</si>
  <si>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</si>
  <si>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Ledningsnet ≤ Ø50 mm</t>
  </si>
  <si>
    <t>Anlægsprojekter igangsat senest 1. marts 2016</t>
  </si>
  <si>
    <t>Afgift for ledningsført vand</t>
  </si>
  <si>
    <t>Afgift til Forsyningssekretariatet</t>
  </si>
  <si>
    <t>Tjenestemandspensioner</t>
  </si>
  <si>
    <t>Påbud om håndtering af DMS forurening</t>
  </si>
  <si>
    <t>Udvidelse af forsyningsområdet</t>
  </si>
  <si>
    <t>Ingen engangstillæg</t>
  </si>
  <si>
    <t>Til indregning i den økonomiske ramme for 2020</t>
  </si>
  <si>
    <t>Tillæg/fradrag i den økonomiske ramme for 2020 i alt</t>
  </si>
  <si>
    <t>Køb af produkter og ydelser hos selskab underlagt reguleringen (Åbjerg Vandværk)</t>
  </si>
  <si>
    <t>Afgift for ledningsført vand (Åbjerg Vandværk)</t>
  </si>
  <si>
    <t>Fusion med Åbjerg Vandværk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</si>
</sst>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192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56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22</v>
      </c>
      <c r="D14" s="55" t="s">
        <v>177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55</v>
      </c>
      <c r="D15" s="55" t="s">
        <v>133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57</v>
      </c>
      <c r="D16" s="55" t="s">
        <v>134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224</v>
      </c>
      <c r="D17" s="55" t="s">
        <v>66</v>
      </c>
      <c r="E17" s="56"/>
      <c r="F17" s="56"/>
      <c r="G17" s="57"/>
      <c r="H17" s="1"/>
      <c r="I17" s="1"/>
    </row>
    <row r="18" spans="1:9" x14ac:dyDescent="0.45">
      <c r="A18" s="1"/>
      <c r="B18" s="1"/>
      <c r="C18" s="34" t="s">
        <v>196</v>
      </c>
      <c r="D18" s="64" t="s">
        <v>162</v>
      </c>
      <c r="E18" s="65"/>
      <c r="F18" s="65"/>
      <c r="G18" s="66"/>
      <c r="H18" s="1"/>
      <c r="I18" s="1"/>
    </row>
    <row r="19" spans="1:9" x14ac:dyDescent="0.45">
      <c r="A19" s="1"/>
      <c r="B19" s="1"/>
      <c r="C19" s="34" t="s">
        <v>197</v>
      </c>
      <c r="D19" s="64" t="s">
        <v>163</v>
      </c>
      <c r="E19" s="65"/>
      <c r="F19" s="65"/>
      <c r="G19" s="66"/>
      <c r="H19" s="1"/>
      <c r="I19" s="1"/>
    </row>
    <row r="20" spans="1:9" x14ac:dyDescent="0.45">
      <c r="A20" s="1"/>
      <c r="B20" s="1"/>
      <c r="C20" s="34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198</v>
      </c>
      <c r="D21" s="73" t="s">
        <v>17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140</v>
      </c>
      <c r="D22" s="59" t="s">
        <v>161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225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9</v>
      </c>
      <c r="D24" s="59" t="s">
        <v>58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199</v>
      </c>
      <c r="D25" s="59" t="s">
        <v>141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200</v>
      </c>
      <c r="D26" s="59" t="s">
        <v>142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201</v>
      </c>
      <c r="D27" s="59" t="s">
        <v>59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183</v>
      </c>
      <c r="D28" s="59" t="s">
        <v>60</v>
      </c>
      <c r="E28" s="60"/>
      <c r="F28" s="60"/>
      <c r="G28" s="61"/>
      <c r="H28" s="1"/>
      <c r="I28" s="1"/>
    </row>
    <row r="29" spans="1:9" x14ac:dyDescent="0.45">
      <c r="A29" s="1"/>
      <c r="B29" s="1"/>
      <c r="C29" s="6" t="s">
        <v>61</v>
      </c>
      <c r="D29" s="67" t="s">
        <v>11</v>
      </c>
      <c r="E29" s="68"/>
      <c r="F29" s="68"/>
      <c r="G29" s="69"/>
      <c r="H29" s="1"/>
      <c r="I29" s="1"/>
    </row>
    <row r="30" spans="1:9" x14ac:dyDescent="0.45">
      <c r="A30" s="1"/>
      <c r="B30" s="1"/>
      <c r="C30" s="6" t="s">
        <v>62</v>
      </c>
      <c r="D30" s="70" t="s">
        <v>184</v>
      </c>
      <c r="E30" s="71"/>
      <c r="F30" s="71"/>
      <c r="G30" s="72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JEvIzajuYz7bnf7uQdLL8UcUd6omZDiL/0ifkBkSKdvnlpBaxjtVoIYOsIrHDyJbh1AlOmFawhCkmsnWsahgg==" saltValue="RdR2VIfiQpmdsfOjmMt2V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6" t="s">
        <v>204</v>
      </c>
      <c r="C3" s="76"/>
      <c r="D3" s="76"/>
      <c r="E3" s="1"/>
      <c r="F3" s="1"/>
    </row>
    <row r="4" spans="1:6" ht="15" customHeight="1" x14ac:dyDescent="0.45">
      <c r="A4" s="1"/>
      <c r="B4" s="76"/>
      <c r="C4" s="76"/>
      <c r="D4" s="7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9" t="s">
        <v>69</v>
      </c>
      <c r="C8" s="100"/>
      <c r="D8" s="101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236</v>
      </c>
      <c r="C10" s="9">
        <v>8037996</v>
      </c>
      <c r="D10" s="14" t="s">
        <v>3</v>
      </c>
      <c r="E10" s="1"/>
      <c r="F10" s="1"/>
    </row>
    <row r="11" spans="1:6" x14ac:dyDescent="0.45">
      <c r="A11" s="1"/>
      <c r="B11" s="48" t="s">
        <v>237</v>
      </c>
      <c r="C11" s="9">
        <v>38734</v>
      </c>
      <c r="D11" s="14" t="s">
        <v>3</v>
      </c>
      <c r="E11" s="1"/>
      <c r="F11" s="1"/>
    </row>
    <row r="12" spans="1:6" x14ac:dyDescent="0.45">
      <c r="A12" s="1"/>
      <c r="B12" s="48" t="s">
        <v>238</v>
      </c>
      <c r="C12" s="9">
        <v>93112.5</v>
      </c>
      <c r="D12" s="14" t="s">
        <v>3</v>
      </c>
      <c r="E12" s="1"/>
      <c r="F12" s="1"/>
    </row>
    <row r="13" spans="1:6" x14ac:dyDescent="0.45">
      <c r="A13" s="1"/>
      <c r="B13" s="51" t="s">
        <v>244</v>
      </c>
      <c r="C13" s="9">
        <v>124839</v>
      </c>
      <c r="D13" s="14" t="s">
        <v>3</v>
      </c>
      <c r="E13" s="1"/>
      <c r="F13" s="1"/>
    </row>
    <row r="14" spans="1:6" x14ac:dyDescent="0.45">
      <c r="A14" s="1"/>
      <c r="B14" s="51" t="s">
        <v>245</v>
      </c>
      <c r="C14" s="9">
        <v>157243</v>
      </c>
      <c r="D14" s="14" t="s">
        <v>3</v>
      </c>
      <c r="E14" s="1"/>
      <c r="F14" s="1"/>
    </row>
    <row r="15" spans="1:6" x14ac:dyDescent="0.45">
      <c r="A15" s="1"/>
      <c r="B15" s="39" t="s">
        <v>71</v>
      </c>
      <c r="C15" s="12">
        <f>SUM(C10:C14)</f>
        <v>8451924.5</v>
      </c>
      <c r="D15" s="13" t="s">
        <v>3</v>
      </c>
      <c r="E15" s="1"/>
      <c r="F15" s="1"/>
    </row>
    <row r="16" spans="1:6" x14ac:dyDescent="0.45">
      <c r="A16" s="1"/>
      <c r="B16" s="39" t="s">
        <v>72</v>
      </c>
      <c r="C16" s="12">
        <f>C15*(1+'Fane 14. Nøgletal'!C12)^2</f>
        <v>8788210.4326792061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PDb4G0qoz+DO9toVvRWUMn9BG0sPXZohMdXN7l59lZmAWEf05yXsHbXfa8YNZOgIQ+scR9HkMHcx7jPHxBbZTQ==" saltValue="fSovCh8UQRVhx1kZly+e0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205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9" t="s">
        <v>52</v>
      </c>
      <c r="C6" s="100"/>
      <c r="D6" s="100"/>
      <c r="E6" s="100"/>
      <c r="F6" s="101"/>
      <c r="G6" s="1"/>
    </row>
    <row r="7" spans="1:7" ht="15" customHeight="1" x14ac:dyDescent="0.45">
      <c r="A7" s="1"/>
      <c r="B7" s="102" t="s">
        <v>50</v>
      </c>
      <c r="C7" s="103"/>
      <c r="D7" s="104"/>
      <c r="E7" s="9">
        <v>-989663.31473333342</v>
      </c>
      <c r="F7" s="14" t="s">
        <v>3</v>
      </c>
      <c r="G7" s="1"/>
    </row>
    <row r="8" spans="1:7" ht="15" customHeight="1" x14ac:dyDescent="0.45">
      <c r="A8" s="1"/>
      <c r="B8" s="102" t="s">
        <v>51</v>
      </c>
      <c r="C8" s="103"/>
      <c r="D8" s="104"/>
      <c r="E8" s="9">
        <v>1145947.0410131738</v>
      </c>
      <c r="F8" s="14" t="s">
        <v>3</v>
      </c>
      <c r="G8" s="1"/>
    </row>
    <row r="9" spans="1:7" ht="15" customHeight="1" x14ac:dyDescent="0.45">
      <c r="A9" s="1"/>
      <c r="B9" s="110" t="s">
        <v>186</v>
      </c>
      <c r="C9" s="111"/>
      <c r="D9" s="112"/>
      <c r="E9" s="10">
        <f>SUM(E7:E8)</f>
        <v>156283.72627984034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8" t="s">
        <v>188</v>
      </c>
      <c r="C11" s="79"/>
      <c r="D11" s="79"/>
      <c r="E11" s="79"/>
      <c r="F11" s="8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165</v>
      </c>
      <c r="C14" s="100"/>
      <c r="D14" s="100"/>
      <c r="E14" s="100"/>
      <c r="F14" s="101"/>
      <c r="G14" s="1"/>
    </row>
    <row r="15" spans="1:7" x14ac:dyDescent="0.45">
      <c r="A15" s="1"/>
      <c r="B15" s="102" t="s">
        <v>166</v>
      </c>
      <c r="C15" s="103"/>
      <c r="D15" s="104"/>
      <c r="E15" s="9">
        <v>30399274.911853924</v>
      </c>
      <c r="F15" s="14" t="s">
        <v>3</v>
      </c>
      <c r="G15" s="1"/>
    </row>
    <row r="16" spans="1:7" x14ac:dyDescent="0.45">
      <c r="A16" s="1"/>
      <c r="B16" s="102" t="s">
        <v>167</v>
      </c>
      <c r="C16" s="103"/>
      <c r="D16" s="104"/>
      <c r="E16" s="9">
        <v>27507122</v>
      </c>
      <c r="F16" s="14" t="s">
        <v>3</v>
      </c>
      <c r="G16" s="1"/>
    </row>
    <row r="17" spans="1:7" x14ac:dyDescent="0.45">
      <c r="A17" s="1"/>
      <c r="B17" s="102" t="s">
        <v>49</v>
      </c>
      <c r="C17" s="103"/>
      <c r="D17" s="104"/>
      <c r="E17" s="9">
        <v>0</v>
      </c>
      <c r="F17" s="14" t="s">
        <v>3</v>
      </c>
      <c r="G17" s="1"/>
    </row>
    <row r="18" spans="1:7" x14ac:dyDescent="0.45">
      <c r="A18" s="1"/>
      <c r="B18" s="110" t="s">
        <v>187</v>
      </c>
      <c r="C18" s="111"/>
      <c r="D18" s="112"/>
      <c r="E18" s="10">
        <f>E15-(E16-E17)</f>
        <v>2892152.9118539244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8" t="s">
        <v>189</v>
      </c>
      <c r="C20" s="79"/>
      <c r="D20" s="79"/>
      <c r="E20" s="79"/>
      <c r="F20" s="8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9" t="s">
        <v>77</v>
      </c>
      <c r="C23" s="100"/>
      <c r="D23" s="100"/>
      <c r="E23" s="100"/>
      <c r="F23" s="101"/>
      <c r="G23" s="1"/>
    </row>
    <row r="24" spans="1:7" x14ac:dyDescent="0.45">
      <c r="A24" s="1"/>
      <c r="B24" s="102" t="s">
        <v>78</v>
      </c>
      <c r="C24" s="103"/>
      <c r="D24" s="104"/>
      <c r="E24" s="9">
        <v>25894328.249444455</v>
      </c>
      <c r="F24" s="14" t="s">
        <v>3</v>
      </c>
      <c r="G24" s="1"/>
    </row>
    <row r="25" spans="1:7" x14ac:dyDescent="0.45">
      <c r="A25" s="1"/>
      <c r="B25" s="102" t="s">
        <v>79</v>
      </c>
      <c r="C25" s="103"/>
      <c r="D25" s="104"/>
      <c r="E25" s="9">
        <v>26561286</v>
      </c>
      <c r="F25" s="14" t="s">
        <v>3</v>
      </c>
      <c r="G25" s="1"/>
    </row>
    <row r="26" spans="1:7" x14ac:dyDescent="0.45">
      <c r="A26" s="1"/>
      <c r="B26" s="102" t="s">
        <v>49</v>
      </c>
      <c r="C26" s="103"/>
      <c r="D26" s="104"/>
      <c r="E26" s="9">
        <v>0</v>
      </c>
      <c r="F26" s="14" t="s">
        <v>3</v>
      </c>
      <c r="G26" s="1"/>
    </row>
    <row r="27" spans="1:7" x14ac:dyDescent="0.45">
      <c r="A27" s="1"/>
      <c r="B27" s="110" t="s">
        <v>187</v>
      </c>
      <c r="C27" s="111"/>
      <c r="D27" s="112"/>
      <c r="E27" s="10">
        <f>E24-(E25-E26)</f>
        <v>-666957.75055554509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9" t="s">
        <v>242</v>
      </c>
      <c r="C31" s="100"/>
      <c r="D31" s="100"/>
      <c r="E31" s="100"/>
      <c r="F31" s="101"/>
      <c r="G31" s="1"/>
    </row>
    <row r="32" spans="1:7" x14ac:dyDescent="0.45">
      <c r="A32" s="1"/>
      <c r="B32" s="110" t="s">
        <v>243</v>
      </c>
      <c r="C32" s="111"/>
      <c r="D32" s="112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78141.863139920169</v>
      </c>
      <c r="F32" s="17" t="s">
        <v>3</v>
      </c>
      <c r="G32" s="1"/>
    </row>
    <row r="33" spans="1:7" x14ac:dyDescent="0.45">
      <c r="A33" s="1"/>
      <c r="B33" s="99"/>
      <c r="C33" s="100"/>
      <c r="D33" s="100"/>
      <c r="E33" s="100"/>
      <c r="F33" s="10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9" t="s">
        <v>180</v>
      </c>
      <c r="C36" s="100"/>
      <c r="D36" s="100"/>
      <c r="E36" s="100"/>
      <c r="F36" s="101"/>
      <c r="G36" s="1"/>
    </row>
    <row r="37" spans="1:7" x14ac:dyDescent="0.45">
      <c r="A37" s="1"/>
      <c r="B37" s="113" t="s">
        <v>53</v>
      </c>
      <c r="C37" s="114"/>
      <c r="D37" s="115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13" t="s">
        <v>185</v>
      </c>
      <c r="C38" s="114"/>
      <c r="D38" s="115"/>
      <c r="E38" s="9">
        <v>2</v>
      </c>
      <c r="F38" s="14" t="s">
        <v>27</v>
      </c>
      <c r="G38" s="1"/>
    </row>
    <row r="39" spans="1:7" ht="15" customHeight="1" x14ac:dyDescent="0.45">
      <c r="A39" s="1"/>
      <c r="B39" s="110" t="s">
        <v>227</v>
      </c>
      <c r="C39" s="111"/>
      <c r="D39" s="112"/>
      <c r="E39" s="10">
        <f>E37/E38</f>
        <v>0</v>
      </c>
      <c r="F39" s="17" t="s">
        <v>3</v>
      </c>
      <c r="G39" s="1"/>
    </row>
    <row r="40" spans="1:7" x14ac:dyDescent="0.45">
      <c r="A40" s="1"/>
      <c r="B40" s="99"/>
      <c r="C40" s="100"/>
      <c r="D40" s="100"/>
      <c r="E40" s="100"/>
      <c r="F40" s="10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GG5jTZisu/qZB3k0oZ96n9UWQPjGnb3F/kn5/32Fu8Q8vACAPb+vU7T7IYVuAlsfEjMBEkOf/YWUKcs+706eYQ==" saltValue="9hcHYj69WwitGsr4zl+nc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228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159</v>
      </c>
      <c r="C8" s="100"/>
      <c r="D8" s="100"/>
      <c r="E8" s="100"/>
      <c r="F8" s="100"/>
      <c r="G8" s="1"/>
    </row>
    <row r="9" spans="1:7" ht="29.25" customHeight="1" x14ac:dyDescent="0.45">
      <c r="A9" s="1"/>
      <c r="B9" s="90" t="s">
        <v>164</v>
      </c>
      <c r="C9" s="91"/>
      <c r="D9" s="92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1YLtj292ULoNfZmaQ6IROFBM3LmyZ6cujcJzkxhdXkkZEHxNmpNFx7+na/OcxOOVFjAPXkuWM24RZidvO6EmA==" saltValue="R2lCqgZJFqFKQSzK8wNuk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6" t="s">
        <v>229</v>
      </c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230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45">
      <c r="A10" s="1"/>
      <c r="B10" s="52" t="s">
        <v>234</v>
      </c>
      <c r="C10" s="53">
        <v>75</v>
      </c>
      <c r="D10" s="9">
        <v>197655</v>
      </c>
      <c r="E10" s="9">
        <f>IFERROR(D10/C10,0)</f>
        <v>2635.4</v>
      </c>
      <c r="F10" s="9"/>
      <c r="G10" s="9">
        <v>3222</v>
      </c>
      <c r="H10" s="14" t="s">
        <v>3</v>
      </c>
      <c r="I10" s="1"/>
    </row>
    <row r="11" spans="1:9" x14ac:dyDescent="0.45">
      <c r="A11" s="1"/>
      <c r="B11" s="52" t="s">
        <v>234</v>
      </c>
      <c r="C11" s="53">
        <v>75</v>
      </c>
      <c r="D11" s="9">
        <v>1987167</v>
      </c>
      <c r="E11" s="9">
        <f t="shared" ref="E11" si="0">IFERROR(D11/C11,0)</f>
        <v>26495.56</v>
      </c>
      <c r="F11" s="9"/>
      <c r="G11" s="9">
        <v>32391</v>
      </c>
      <c r="H11" s="14" t="s">
        <v>3</v>
      </c>
      <c r="I11" s="1"/>
    </row>
    <row r="12" spans="1:9" x14ac:dyDescent="0.45">
      <c r="A12" s="1"/>
      <c r="B12" s="99" t="s">
        <v>231</v>
      </c>
      <c r="C12" s="100"/>
      <c r="D12" s="101"/>
      <c r="E12" s="12">
        <f>SUM(E10:E11)</f>
        <v>29130.960000000003</v>
      </c>
      <c r="F12" s="12">
        <f>SUM(F10:F11)</f>
        <v>0</v>
      </c>
      <c r="G12" s="12">
        <f>SUM(G10:G11)</f>
        <v>35613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hzn0aRdKZo8X5zvQ8q2reeZmdaZ/swALH1ypPOjFMlfB8Kz9ejbc3LJmh+pnQtoboCYM+pvgHAvQIZYpHMmRg==" saltValue="V1n64C1SQ7x1HXWvNlF88g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206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235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64743.960000000006</v>
      </c>
      <c r="F10" s="14" t="s">
        <v>3</v>
      </c>
      <c r="G10" s="1"/>
    </row>
    <row r="11" spans="1:7" x14ac:dyDescent="0.45">
      <c r="A11" s="1"/>
      <c r="B11" s="54" t="s">
        <v>239</v>
      </c>
      <c r="C11" s="24">
        <v>1398386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27" t="s">
        <v>240</v>
      </c>
      <c r="C12" s="24">
        <v>49269</v>
      </c>
      <c r="D12" s="14" t="s">
        <v>3</v>
      </c>
      <c r="E12" s="9">
        <v>55963</v>
      </c>
      <c r="F12" s="14" t="s">
        <v>3</v>
      </c>
      <c r="G12" s="1"/>
    </row>
    <row r="13" spans="1:7" x14ac:dyDescent="0.45">
      <c r="A13" s="1"/>
      <c r="B13" s="27" t="s">
        <v>246</v>
      </c>
      <c r="C13" s="24">
        <v>409250.9907462222</v>
      </c>
      <c r="D13" s="14" t="s">
        <v>3</v>
      </c>
      <c r="E13" s="9">
        <v>223455.60863881168</v>
      </c>
      <c r="F13" s="14" t="s">
        <v>3</v>
      </c>
      <c r="G13" s="1"/>
    </row>
    <row r="14" spans="1:7" x14ac:dyDescent="0.45">
      <c r="A14" s="1"/>
      <c r="B14" s="39" t="s">
        <v>63</v>
      </c>
      <c r="C14" s="12">
        <f>SUM(C10:C13)</f>
        <v>1856905.9907462222</v>
      </c>
      <c r="D14" s="13" t="s">
        <v>3</v>
      </c>
      <c r="E14" s="12">
        <f>SUM(E10:E13)</f>
        <v>344162.5686388117</v>
      </c>
      <c r="F14" s="13" t="s">
        <v>3</v>
      </c>
      <c r="G14" s="1"/>
    </row>
    <row r="15" spans="1:7" x14ac:dyDescent="0.45">
      <c r="A15" s="1"/>
      <c r="B15" s="39" t="s">
        <v>74</v>
      </c>
      <c r="C15" s="12">
        <f>C14*(1+'Fane 14. Nøgletal'!C12)</f>
        <v>1893487.0387639229</v>
      </c>
      <c r="D15" s="13" t="s">
        <v>3</v>
      </c>
      <c r="E15" s="12">
        <f>E14*(1+'Fane 14. Nøgletal'!C12)</f>
        <v>350942.5712409963</v>
      </c>
      <c r="F15" s="13" t="s">
        <v>3</v>
      </c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oAqDlNInxMVw4gLDya2z+v6ZX2Cfn4o76D8dyk2D8LuYqz7JRKdHb2SwGsWbMQDBN/xIPgN/HS+ZLidlskvaQ==" saltValue="GxfwaXh5ohxjtTprWqS5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207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168</v>
      </c>
      <c r="C8" s="100"/>
      <c r="D8" s="100"/>
      <c r="E8" s="100"/>
      <c r="F8" s="101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169</v>
      </c>
      <c r="C16" s="100"/>
      <c r="D16" s="100"/>
      <c r="E16" s="100"/>
      <c r="F16" s="101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9" t="s">
        <v>170</v>
      </c>
      <c r="C24" s="100"/>
      <c r="D24" s="100"/>
      <c r="E24" s="100"/>
      <c r="F24" s="101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9" t="s">
        <v>171</v>
      </c>
      <c r="C32" s="100"/>
      <c r="D32" s="100"/>
      <c r="E32" s="100"/>
      <c r="F32" s="101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hieawyGf6ST9Wd+cKBdVyJtyMpsiwIX9B0j9VRO/YddJ0V7/CLv2DvJFneYXuK8s/BvnGqr+h26iUdQsRQJTg==" saltValue="RUIpB3AsI2QVhQYUcYSi3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208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31</v>
      </c>
      <c r="C8" s="100"/>
      <c r="D8" s="100"/>
      <c r="E8" s="100"/>
      <c r="F8" s="101"/>
      <c r="G8" s="1"/>
    </row>
    <row r="9" spans="1:7" ht="15" customHeight="1" x14ac:dyDescent="0.45">
      <c r="A9" s="1"/>
      <c r="B9" s="41" t="s">
        <v>32</v>
      </c>
      <c r="C9" s="90" t="s">
        <v>16</v>
      </c>
      <c r="D9" s="92"/>
      <c r="E9" s="90" t="s">
        <v>47</v>
      </c>
      <c r="F9" s="92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79Kxk2Ca0wn6R7H1x4vnuoIJOjtc7BlbE+EkuJH9HtVI5fd9vn/vF52MCnIv/TfXuUv5OX4+tx33NrQLvdjW3Q==" saltValue="mjLV8wHg/G1oxtwtuck1h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209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156</v>
      </c>
      <c r="C8" s="100"/>
      <c r="D8" s="100"/>
      <c r="E8" s="100"/>
      <c r="F8" s="101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9" t="s">
        <v>157</v>
      </c>
      <c r="C15" s="100"/>
      <c r="D15" s="100"/>
      <c r="E15" s="100"/>
      <c r="F15" s="101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9" t="s">
        <v>155</v>
      </c>
      <c r="C22" s="100"/>
      <c r="D22" s="100"/>
      <c r="E22" s="100"/>
      <c r="F22" s="101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9" t="s">
        <v>158</v>
      </c>
      <c r="C29" s="100"/>
      <c r="D29" s="100"/>
      <c r="E29" s="100"/>
      <c r="F29" s="101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E26FqIio+VnUrYcNhwh25G4yOQqTNYTHN3lqwHhUgbIt5b4R6PNwOBphqB1ZLA7UxDUSsR4ec0Jenq3rDl8MvA==" saltValue="iA9ThYpK7NLSb05KYfd0i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6" t="s">
        <v>210</v>
      </c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18</v>
      </c>
      <c r="C8" s="100"/>
      <c r="D8" s="100"/>
      <c r="E8" s="100"/>
      <c r="F8" s="100"/>
      <c r="G8" s="100"/>
      <c r="H8" s="101"/>
      <c r="I8" s="1"/>
    </row>
    <row r="9" spans="1:9" x14ac:dyDescent="0.45">
      <c r="A9" s="1"/>
      <c r="B9" s="102" t="s">
        <v>12</v>
      </c>
      <c r="C9" s="103"/>
      <c r="D9" s="103"/>
      <c r="E9" s="103"/>
      <c r="F9" s="104"/>
      <c r="G9" s="9">
        <v>-5251897</v>
      </c>
      <c r="H9" s="14" t="s">
        <v>3</v>
      </c>
      <c r="I9" s="1"/>
    </row>
    <row r="10" spans="1:9" x14ac:dyDescent="0.4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45">
      <c r="A11" s="1"/>
      <c r="B11" s="102" t="s">
        <v>80</v>
      </c>
      <c r="C11" s="103"/>
      <c r="D11" s="103"/>
      <c r="E11" s="103"/>
      <c r="F11" s="104"/>
      <c r="G11" s="9">
        <v>4727259.8703703703</v>
      </c>
      <c r="H11" s="14" t="s">
        <v>3</v>
      </c>
      <c r="I11" s="1"/>
    </row>
    <row r="12" spans="1:9" x14ac:dyDescent="0.45">
      <c r="A12" s="1"/>
      <c r="B12" s="116" t="s">
        <v>15</v>
      </c>
      <c r="C12" s="117"/>
      <c r="D12" s="117"/>
      <c r="E12" s="117"/>
      <c r="F12" s="118"/>
      <c r="G12" s="19">
        <f>(G9+G10)+G11</f>
        <v>-524637.12962962966</v>
      </c>
      <c r="H12" s="18" t="s">
        <v>3</v>
      </c>
      <c r="I12" s="1"/>
    </row>
    <row r="13" spans="1:9" x14ac:dyDescent="0.4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27</v>
      </c>
      <c r="I13" s="1"/>
    </row>
    <row r="14" spans="1:9" x14ac:dyDescent="0.45">
      <c r="A14" s="1"/>
      <c r="B14" s="99" t="s">
        <v>136</v>
      </c>
      <c r="C14" s="100"/>
      <c r="D14" s="100"/>
      <c r="E14" s="100"/>
      <c r="F14" s="101"/>
      <c r="G14" s="12">
        <f>IF(G13 = 0,0,-G12/G13)</f>
        <v>524637.12962962966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P9+Vb/SqeEWhGEox3G20gXiy/wvg2zkmEWos5daCdnKTM6pBtYvUtITvfKwN4UUK+FzKvzDZoO3qtSWizaX3A==" saltValue="Zd+C4MIw2LWafVKMlFO6l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54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9"/>
      <c r="C13" s="101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F66QBlrCqlc4twg3YlowxrZ6KSk3dpehvE/RmYHOtdLS2T+YuL7H5DY8Rn9gCN8vGyy5Cfv5OOosQ7V9ZLc35g==" saltValue="IoZBZNHKy+x7DxtHEc6Fu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65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17733081.350349229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tillæg'!C15</f>
        <v>1893487.0387639229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tillæg'!E15</f>
        <v>350942.5712409963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343904.33813799889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-209649.41464282034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-214781.79270882485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-92080.78016826266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19804903.310972236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omk.'!C16</f>
        <v>8788210.4326792061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524637.12962962966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78141.863139920169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29195892.736420993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zHoK8hWbMIJoAIcxCgRIRWN7J1WXPe3iK2IkCqcHb90Rh9QIqzzUuVLF9Qt0gH0CQBMz5cvIVadyemj/kYYlg==" saltValue="J9a5CqAvaR2ZbVbScb/XV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85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77" t="s">
        <v>29</v>
      </c>
      <c r="C5" s="77"/>
      <c r="D5" s="7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19804903.310972236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390156.59522615303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-208345.84726612706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-214632.73414468489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-280374.07302419923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19491707.251763381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omk.'!C16*(1+'Fane 14. Nøgletal'!C12)</f>
        <v>8961338.1782029867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28453045.429966368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+5GTju3uqS/YPCEOxdIvBd0vr4Xu8kfqifffAFj3Itfg9AeJfCKAdT1LnAPXLAf0qx72lNjJV4y6S3cSb9Hlfw==" saltValue="4oPPqi8LhTkCuJ+2+VXY7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193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77" t="s">
        <v>29</v>
      </c>
      <c r="C5" s="77"/>
      <c r="D5" s="7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19491707.251763381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383986.6328597386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-205051.05216959512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-214483.77902718849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-277777.95490251319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19178381.098523822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Nøgletal'!C12)^2</f>
        <v>9137876.5403135866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28316257.638837408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UUrrQ33q3oUhq6FJsB3/RVPqRj6J/PtwL5RoPzpnVcfTwZy1jt4VR4hoZMImHQmjffeEZQ6NbuQgkUtSQRd7iA==" saltValue="b/uozh3q0MxqamQCfPlc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194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77" t="s">
        <v>29</v>
      </c>
      <c r="C5" s="77"/>
      <c r="D5" s="7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19178381.098523822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377814.10764091928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-201754.88849526067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-214334.92728454364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-275205.87548465247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18864899.514900286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Nøgletal'!C12)^3</f>
        <v>9317892.7081577629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28182792.223058049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om2HeLRp+lA3X1jXiAcDz1LlPLZHkH9BtYzxRoWqVEtWvRRkRtnjQEm8AGRfT+Hb2igUN8unHUS3eKma4gwU6g==" saltValue="hwBXEex7garP0QMjxZwJ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221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4" t="s">
        <v>81</v>
      </c>
      <c r="C9" s="95"/>
      <c r="D9" s="96"/>
      <c r="E9" s="7">
        <v>17216798.871199585</v>
      </c>
      <c r="F9" s="8" t="s">
        <v>3</v>
      </c>
      <c r="G9" s="1"/>
    </row>
    <row r="10" spans="1:7" x14ac:dyDescent="0.45">
      <c r="A10" s="1"/>
      <c r="B10" s="94" t="s">
        <v>82</v>
      </c>
      <c r="C10" s="95"/>
      <c r="D10" s="96"/>
      <c r="E10" s="7">
        <v>0</v>
      </c>
      <c r="F10" s="8" t="s">
        <v>3</v>
      </c>
      <c r="G10" s="1"/>
    </row>
    <row r="11" spans="1:7" x14ac:dyDescent="0.45">
      <c r="A11" s="1"/>
      <c r="B11" s="94" t="s">
        <v>83</v>
      </c>
      <c r="C11" s="95"/>
      <c r="D11" s="96"/>
      <c r="E11" s="7">
        <v>180260.12791234738</v>
      </c>
      <c r="F11" s="8" t="s">
        <v>3</v>
      </c>
      <c r="G11" s="1"/>
    </row>
    <row r="12" spans="1:7" x14ac:dyDescent="0.45">
      <c r="A12" s="1"/>
      <c r="B12" s="81" t="s">
        <v>67</v>
      </c>
      <c r="C12" s="82"/>
      <c r="D12" s="83"/>
      <c r="E12" s="7">
        <v>0</v>
      </c>
      <c r="F12" s="8" t="s">
        <v>3</v>
      </c>
      <c r="G12" s="1"/>
    </row>
    <row r="13" spans="1:7" x14ac:dyDescent="0.45">
      <c r="A13" s="1"/>
      <c r="B13" s="81" t="s">
        <v>68</v>
      </c>
      <c r="C13" s="82"/>
      <c r="D13" s="83"/>
      <c r="E13" s="9">
        <v>479489.03544083331</v>
      </c>
      <c r="F13" s="8" t="s">
        <v>3</v>
      </c>
      <c r="G13" s="1"/>
    </row>
    <row r="14" spans="1:7" x14ac:dyDescent="0.45">
      <c r="A14" s="1"/>
      <c r="B14" s="81" t="s">
        <v>41</v>
      </c>
      <c r="C14" s="82"/>
      <c r="D14" s="83"/>
      <c r="E14" s="9">
        <v>0</v>
      </c>
      <c r="F14" s="8" t="s">
        <v>3</v>
      </c>
      <c r="G14" s="1"/>
    </row>
    <row r="15" spans="1:7" x14ac:dyDescent="0.45">
      <c r="A15" s="1"/>
      <c r="B15" s="81" t="s">
        <v>40</v>
      </c>
      <c r="C15" s="82"/>
      <c r="D15" s="83"/>
      <c r="E15" s="9">
        <v>0</v>
      </c>
      <c r="F15" s="8" t="s">
        <v>3</v>
      </c>
      <c r="G15" s="1"/>
    </row>
    <row r="16" spans="1:7" x14ac:dyDescent="0.45">
      <c r="A16" s="1"/>
      <c r="B16" s="81" t="s">
        <v>43</v>
      </c>
      <c r="C16" s="82"/>
      <c r="D16" s="83"/>
      <c r="E16" s="9">
        <v>0</v>
      </c>
      <c r="F16" s="8" t="s">
        <v>3</v>
      </c>
      <c r="G16" s="1"/>
    </row>
    <row r="17" spans="1:7" x14ac:dyDescent="0.45">
      <c r="A17" s="1"/>
      <c r="B17" s="81" t="s">
        <v>42</v>
      </c>
      <c r="C17" s="82"/>
      <c r="D17" s="83"/>
      <c r="E17" s="9">
        <v>0</v>
      </c>
      <c r="F17" s="8" t="s">
        <v>3</v>
      </c>
      <c r="G17" s="1"/>
    </row>
    <row r="18" spans="1:7" x14ac:dyDescent="0.45">
      <c r="A18" s="1"/>
      <c r="B18" s="81" t="s">
        <v>26</v>
      </c>
      <c r="C18" s="82"/>
      <c r="D18" s="83"/>
      <c r="E18" s="9">
        <f>SUM(E9:E17)*'Fane 14. Nøgletal'!C11</f>
        <v>302113.66178394167</v>
      </c>
      <c r="F18" s="8" t="s">
        <v>3</v>
      </c>
      <c r="G18" s="1"/>
    </row>
    <row r="19" spans="1:7" x14ac:dyDescent="0.45">
      <c r="A19" s="1"/>
      <c r="B19" s="81" t="s">
        <v>10</v>
      </c>
      <c r="C19" s="82"/>
      <c r="D19" s="83"/>
      <c r="E19" s="9">
        <f>-SUM(E9:E18)*'Fane 5. Individuelt eff. krav'!G10</f>
        <v>-187543.3245001217</v>
      </c>
      <c r="F19" s="8" t="s">
        <v>3</v>
      </c>
      <c r="G19" s="1"/>
    </row>
    <row r="20" spans="1:7" x14ac:dyDescent="0.45">
      <c r="A20" s="1"/>
      <c r="B20" s="81" t="s">
        <v>38</v>
      </c>
      <c r="C20" s="82"/>
      <c r="D20" s="83"/>
      <c r="E20" s="9">
        <f>-'Fane 4.1. Gen. krav - drift'!G20</f>
        <v>-176773.76624863621</v>
      </c>
      <c r="F20" s="8" t="s">
        <v>3</v>
      </c>
      <c r="G20" s="1"/>
    </row>
    <row r="21" spans="1:7" x14ac:dyDescent="0.45">
      <c r="A21" s="1"/>
      <c r="B21" s="81" t="s">
        <v>39</v>
      </c>
      <c r="C21" s="82"/>
      <c r="D21" s="83"/>
      <c r="E21" s="9">
        <f>-'Fane 4.2. Gen. krav - anlæg'!G19</f>
        <v>-81263.255238720711</v>
      </c>
      <c r="F21" s="8" t="s">
        <v>3</v>
      </c>
      <c r="G21" s="1"/>
    </row>
    <row r="22" spans="1:7" x14ac:dyDescent="0.45">
      <c r="A22" s="1"/>
      <c r="B22" s="84" t="s">
        <v>28</v>
      </c>
      <c r="C22" s="85"/>
      <c r="D22" s="86"/>
      <c r="E22" s="10">
        <f>SUM(E9:E21)</f>
        <v>17733081.350349229</v>
      </c>
      <c r="F22" s="11" t="s">
        <v>3</v>
      </c>
      <c r="G22" s="1"/>
    </row>
    <row r="23" spans="1:7" x14ac:dyDescent="0.45">
      <c r="A23" s="1"/>
      <c r="B23" s="97" t="s">
        <v>17</v>
      </c>
      <c r="C23" s="98"/>
      <c r="D23" s="98"/>
      <c r="E23" s="40"/>
      <c r="F23" s="22"/>
      <c r="G23" s="1"/>
    </row>
    <row r="24" spans="1:7" x14ac:dyDescent="0.45">
      <c r="A24" s="1"/>
      <c r="B24" s="87" t="s">
        <v>17</v>
      </c>
      <c r="C24" s="88"/>
      <c r="D24" s="89"/>
      <c r="E24" s="10">
        <v>8217450.2312274585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90" t="s">
        <v>132</v>
      </c>
      <c r="C26" s="91"/>
      <c r="D26" s="92"/>
      <c r="E26" s="10">
        <v>49603.449454709153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7" t="s">
        <v>19</v>
      </c>
      <c r="C28" s="88"/>
      <c r="D28" s="89"/>
      <c r="E28" s="10">
        <v>524638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7" t="s">
        <v>131</v>
      </c>
      <c r="C30" s="88"/>
      <c r="D30" s="89"/>
      <c r="E30" s="10">
        <v>82219.470295283521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26606992.50132668</v>
      </c>
      <c r="F31" s="13" t="s">
        <v>3</v>
      </c>
      <c r="G31" s="1"/>
    </row>
    <row r="32" spans="1:7" ht="28.15" customHeight="1" x14ac:dyDescent="0.45">
      <c r="A32" s="1"/>
      <c r="B32" s="78" t="s">
        <v>189</v>
      </c>
      <c r="C32" s="79"/>
      <c r="D32" s="79"/>
      <c r="E32" s="79"/>
      <c r="F32" s="80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YRuOUyA+nVV/+SpnzTDnYEHKbHq52Zd7FpeL3j7Cj5MDidAVCg3F5an8Au4L/G/cbIXeJNhhNqoowV0a3bCAEQ==" saltValue="J3QUHQZno2RAD/yBZhYhy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6" t="s">
        <v>202</v>
      </c>
      <c r="C2" s="76"/>
      <c r="D2" s="76"/>
      <c r="E2" s="76"/>
      <c r="F2" s="76"/>
      <c r="G2" s="76"/>
      <c r="H2" s="76"/>
      <c r="I2" s="1"/>
    </row>
    <row r="3" spans="1:9" ht="15" customHeight="1" x14ac:dyDescent="0.45">
      <c r="A3" s="1"/>
      <c r="B3" s="76"/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99" t="s">
        <v>97</v>
      </c>
      <c r="C5" s="100"/>
      <c r="D5" s="100"/>
      <c r="E5" s="100"/>
      <c r="F5" s="100"/>
      <c r="G5" s="100"/>
      <c r="H5" s="101"/>
      <c r="I5" s="1"/>
    </row>
    <row r="6" spans="1:9" x14ac:dyDescent="0.45">
      <c r="A6" s="1"/>
      <c r="B6" s="102" t="s">
        <v>86</v>
      </c>
      <c r="C6" s="103"/>
      <c r="D6" s="103"/>
      <c r="E6" s="103"/>
      <c r="F6" s="104"/>
      <c r="G6" s="26">
        <v>8936688.2985880561</v>
      </c>
      <c r="H6" s="14" t="s">
        <v>3</v>
      </c>
      <c r="I6" s="1"/>
    </row>
    <row r="7" spans="1:9" x14ac:dyDescent="0.45">
      <c r="A7" s="1"/>
      <c r="B7" s="102" t="s">
        <v>87</v>
      </c>
      <c r="C7" s="103"/>
      <c r="D7" s="103"/>
      <c r="E7" s="103"/>
      <c r="F7" s="104"/>
      <c r="G7" s="26">
        <f>G6*'Fane 14. Nøgletal'!C25</f>
        <v>178733.76597176114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9" t="s">
        <v>98</v>
      </c>
      <c r="C10" s="100"/>
      <c r="D10" s="100"/>
      <c r="E10" s="100"/>
      <c r="F10" s="100"/>
      <c r="G10" s="100"/>
      <c r="H10" s="101"/>
      <c r="I10" s="1"/>
    </row>
    <row r="11" spans="1:9" x14ac:dyDescent="0.45">
      <c r="A11" s="1"/>
      <c r="B11" s="102" t="s">
        <v>88</v>
      </c>
      <c r="C11" s="103"/>
      <c r="D11" s="103"/>
      <c r="E11" s="103"/>
      <c r="F11" s="104"/>
      <c r="G11" s="26">
        <f>(G6-G7)*(1+'Fane 14. Nøgletal'!C9)</f>
        <v>8869180.5551805217</v>
      </c>
      <c r="H11" s="14" t="s">
        <v>3</v>
      </c>
      <c r="I11" s="1"/>
    </row>
    <row r="12" spans="1:9" x14ac:dyDescent="0.45">
      <c r="A12" s="1"/>
      <c r="B12" s="105" t="s">
        <v>89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45">
      <c r="A13" s="1"/>
      <c r="B13" s="102" t="s">
        <v>90</v>
      </c>
      <c r="C13" s="103"/>
      <c r="D13" s="103"/>
      <c r="E13" s="103"/>
      <c r="F13" s="104"/>
      <c r="G13" s="26">
        <f>(G11+G12)*'Fane 14. Nøgletal'!C25</f>
        <v>177383.61110361043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9" t="s">
        <v>99</v>
      </c>
      <c r="C16" s="100"/>
      <c r="D16" s="100"/>
      <c r="E16" s="100"/>
      <c r="F16" s="100"/>
      <c r="G16" s="100"/>
      <c r="H16" s="101"/>
      <c r="I16" s="1"/>
    </row>
    <row r="17" spans="1:9" x14ac:dyDescent="0.45">
      <c r="A17" s="1"/>
      <c r="B17" s="102" t="s">
        <v>91</v>
      </c>
      <c r="C17" s="103"/>
      <c r="D17" s="103"/>
      <c r="E17" s="103"/>
      <c r="F17" s="104"/>
      <c r="G17" s="26">
        <f>(G13/'Fane 14. Nøgletal'!C25-G13)*(1+'Fane 14. Nøgletal'!C11)</f>
        <v>8838688.3124318104</v>
      </c>
      <c r="H17" s="14" t="s">
        <v>3</v>
      </c>
      <c r="I17" s="1"/>
    </row>
    <row r="18" spans="1:9" x14ac:dyDescent="0.45">
      <c r="A18" s="1"/>
      <c r="B18" s="102" t="s">
        <v>222</v>
      </c>
      <c r="C18" s="103"/>
      <c r="D18" s="103"/>
      <c r="E18" s="103"/>
      <c r="F18" s="104"/>
      <c r="G18" s="26">
        <v>0</v>
      </c>
      <c r="H18" s="14" t="s">
        <v>3</v>
      </c>
      <c r="I18" s="1"/>
    </row>
    <row r="19" spans="1:9" x14ac:dyDescent="0.45">
      <c r="A19" s="1"/>
      <c r="B19" s="105" t="s">
        <v>92</v>
      </c>
      <c r="C19" s="106"/>
      <c r="D19" s="106"/>
      <c r="E19" s="106"/>
      <c r="F19" s="107"/>
      <c r="G19" s="26">
        <v>0</v>
      </c>
      <c r="H19" s="14" t="s">
        <v>3</v>
      </c>
      <c r="I19" s="1"/>
    </row>
    <row r="20" spans="1:9" x14ac:dyDescent="0.45">
      <c r="A20" s="1"/>
      <c r="B20" s="102" t="s">
        <v>93</v>
      </c>
      <c r="C20" s="103"/>
      <c r="D20" s="103"/>
      <c r="E20" s="103"/>
      <c r="F20" s="104"/>
      <c r="G20" s="26">
        <f>SUM(G17:G19)*'Fane 14. Nøgletal'!C25</f>
        <v>176773.76624863621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9" t="s">
        <v>100</v>
      </c>
      <c r="C23" s="100"/>
      <c r="D23" s="100"/>
      <c r="E23" s="100"/>
      <c r="F23" s="100"/>
      <c r="G23" s="100"/>
      <c r="H23" s="101"/>
      <c r="I23" s="1"/>
    </row>
    <row r="24" spans="1:9" x14ac:dyDescent="0.45">
      <c r="A24" s="1"/>
      <c r="B24" s="102" t="s">
        <v>94</v>
      </c>
      <c r="C24" s="103"/>
      <c r="D24" s="103"/>
      <c r="E24" s="103"/>
      <c r="F24" s="104"/>
      <c r="G24" s="26">
        <f>(SUM(G17:G19)-G20)*(1+'Fane 14. Nøgletal'!C11)</f>
        <v>8808300.9020136688</v>
      </c>
      <c r="H24" s="14" t="s">
        <v>3</v>
      </c>
      <c r="I24" s="1"/>
    </row>
    <row r="25" spans="1:9" x14ac:dyDescent="0.45">
      <c r="A25" s="1"/>
      <c r="B25" s="105" t="s">
        <v>95</v>
      </c>
      <c r="C25" s="106"/>
      <c r="D25" s="106"/>
      <c r="E25" s="106"/>
      <c r="F25" s="107"/>
      <c r="G25" s="26">
        <f>('Fane 2.1. Økonomisk ramme 2020'!C10+'Fane 2.1. Økonomisk ramme 2020'!C12+'Fane 2.1. Økonomisk ramme 2020'!C14)*(1+'Fane 14. Nøgletal'!C12)</f>
        <v>1930788.7334275723</v>
      </c>
      <c r="H25" s="14" t="s">
        <v>3</v>
      </c>
      <c r="I25" s="1"/>
    </row>
    <row r="26" spans="1:9" x14ac:dyDescent="0.45">
      <c r="A26" s="1"/>
      <c r="B26" s="102" t="s">
        <v>96</v>
      </c>
      <c r="C26" s="103"/>
      <c r="D26" s="103"/>
      <c r="E26" s="103"/>
      <c r="F26" s="104"/>
      <c r="G26" s="26">
        <f>(G24+G25)*'Fane 14. Nøgletal'!C25</f>
        <v>214781.79270882485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9" t="s">
        <v>191</v>
      </c>
      <c r="C29" s="100"/>
      <c r="D29" s="100"/>
      <c r="E29" s="100"/>
      <c r="F29" s="100"/>
      <c r="G29" s="100"/>
      <c r="H29" s="101"/>
      <c r="I29" s="1"/>
    </row>
    <row r="30" spans="1:9" x14ac:dyDescent="0.45">
      <c r="A30" s="1"/>
      <c r="B30" s="102" t="s">
        <v>103</v>
      </c>
      <c r="C30" s="103"/>
      <c r="D30" s="103"/>
      <c r="E30" s="103"/>
      <c r="F30" s="104"/>
      <c r="G30" s="26">
        <f>(G24+G25-G26)*(1+'Fane 14. Nøgletal'!C12)</f>
        <v>10731636.707234245</v>
      </c>
      <c r="H30" s="14" t="s">
        <v>3</v>
      </c>
      <c r="I30" s="1"/>
    </row>
    <row r="31" spans="1:9" x14ac:dyDescent="0.45">
      <c r="A31" s="1"/>
      <c r="B31" s="102" t="s">
        <v>145</v>
      </c>
      <c r="C31" s="103"/>
      <c r="D31" s="103"/>
      <c r="E31" s="103"/>
      <c r="F31" s="104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102" t="s">
        <v>220</v>
      </c>
      <c r="C32" s="103"/>
      <c r="D32" s="103"/>
      <c r="E32" s="103"/>
      <c r="F32" s="104"/>
      <c r="G32" s="26">
        <f>(G30+G31)*'Fane 14. Nøgletal'!C25</f>
        <v>214632.73414468489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9" t="s">
        <v>126</v>
      </c>
      <c r="C35" s="100"/>
      <c r="D35" s="100"/>
      <c r="E35" s="100"/>
      <c r="F35" s="100"/>
      <c r="G35" s="100"/>
      <c r="H35" s="101"/>
      <c r="I35" s="1"/>
    </row>
    <row r="36" spans="1:9" x14ac:dyDescent="0.45">
      <c r="A36" s="1"/>
      <c r="B36" s="102" t="s">
        <v>125</v>
      </c>
      <c r="C36" s="103"/>
      <c r="D36" s="103"/>
      <c r="E36" s="103"/>
      <c r="F36" s="104"/>
      <c r="G36" s="26">
        <f>(G30-G32)*(1+'Fane 14. Nøgletal'!C12)</f>
        <v>10724188.951359425</v>
      </c>
      <c r="H36" s="14" t="s">
        <v>3</v>
      </c>
      <c r="I36" s="1"/>
    </row>
    <row r="37" spans="1:9" x14ac:dyDescent="0.45">
      <c r="A37" s="1"/>
      <c r="B37" s="102" t="s">
        <v>146</v>
      </c>
      <c r="C37" s="103"/>
      <c r="D37" s="103"/>
      <c r="E37" s="103"/>
      <c r="F37" s="104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102" t="s">
        <v>104</v>
      </c>
      <c r="C38" s="103"/>
      <c r="D38" s="103"/>
      <c r="E38" s="103"/>
      <c r="F38" s="104"/>
      <c r="G38" s="26">
        <f>(G36+G37)*'Fane 14. Nøgletal'!C25</f>
        <v>214483.77902718849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9" t="s">
        <v>127</v>
      </c>
      <c r="C41" s="100"/>
      <c r="D41" s="100"/>
      <c r="E41" s="100"/>
      <c r="F41" s="100"/>
      <c r="G41" s="100"/>
      <c r="H41" s="101"/>
      <c r="I41" s="1"/>
    </row>
    <row r="42" spans="1:9" x14ac:dyDescent="0.45">
      <c r="A42" s="1"/>
      <c r="B42" s="102" t="s">
        <v>124</v>
      </c>
      <c r="C42" s="103"/>
      <c r="D42" s="103"/>
      <c r="E42" s="103"/>
      <c r="F42" s="104"/>
      <c r="G42" s="26">
        <f>(G36-G38)*(1+'Fane 14. Nøgletal'!C12)</f>
        <v>10716746.364227181</v>
      </c>
      <c r="H42" s="14" t="s">
        <v>3</v>
      </c>
      <c r="I42" s="1"/>
    </row>
    <row r="43" spans="1:9" x14ac:dyDescent="0.45">
      <c r="A43" s="1"/>
      <c r="B43" s="102" t="s">
        <v>147</v>
      </c>
      <c r="C43" s="103"/>
      <c r="D43" s="103"/>
      <c r="E43" s="103"/>
      <c r="F43" s="104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102" t="s">
        <v>105</v>
      </c>
      <c r="C44" s="103"/>
      <c r="D44" s="103"/>
      <c r="E44" s="103"/>
      <c r="F44" s="104"/>
      <c r="G44" s="26">
        <f>(G42+G43)*'Fane 14. Nøgletal'!C25</f>
        <v>214334.92728454364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keC9ercJezejSsJQAzRFF5AoeXWhuSXd6r9QrXIeGP9Fg1ah0boEcdY7cLQ734FfNMYnF96i+4yQRILF23lsg==" saltValue="W6eZTVeXWMN1ZE9YE4W7N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8" t="s">
        <v>203</v>
      </c>
      <c r="C2" s="108"/>
      <c r="D2" s="108"/>
      <c r="E2" s="108"/>
      <c r="F2" s="108"/>
      <c r="G2" s="108"/>
      <c r="H2" s="108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9" t="s">
        <v>101</v>
      </c>
      <c r="C4" s="100"/>
      <c r="D4" s="100"/>
      <c r="E4" s="100"/>
      <c r="F4" s="100"/>
      <c r="G4" s="100"/>
      <c r="H4" s="101"/>
      <c r="I4" s="1"/>
    </row>
    <row r="5" spans="1:9" x14ac:dyDescent="0.45">
      <c r="A5" s="1"/>
      <c r="B5" s="102" t="s">
        <v>106</v>
      </c>
      <c r="C5" s="103"/>
      <c r="D5" s="103"/>
      <c r="E5" s="103"/>
      <c r="F5" s="104"/>
      <c r="G5" s="26">
        <v>8574042.1146008968</v>
      </c>
      <c r="H5" s="14" t="s">
        <v>3</v>
      </c>
      <c r="I5" s="1"/>
    </row>
    <row r="6" spans="1:9" x14ac:dyDescent="0.45">
      <c r="A6" s="1"/>
      <c r="B6" s="102" t="s">
        <v>102</v>
      </c>
      <c r="C6" s="103"/>
      <c r="D6" s="103"/>
      <c r="E6" s="103"/>
      <c r="F6" s="104"/>
      <c r="G6" s="26">
        <f>G5*'Fane 14. Nøgletal'!C17</f>
        <v>78023.783242868172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9" t="s">
        <v>107</v>
      </c>
      <c r="C9" s="100"/>
      <c r="D9" s="100"/>
      <c r="E9" s="100"/>
      <c r="F9" s="100"/>
      <c r="G9" s="100"/>
      <c r="H9" s="101"/>
      <c r="I9" s="1"/>
    </row>
    <row r="10" spans="1:9" x14ac:dyDescent="0.45">
      <c r="A10" s="1"/>
      <c r="B10" s="102" t="s">
        <v>108</v>
      </c>
      <c r="C10" s="103"/>
      <c r="D10" s="103"/>
      <c r="E10" s="103"/>
      <c r="F10" s="104"/>
      <c r="G10" s="26">
        <f>(G5-G6)*(1+'Fane 14. Nøgletal'!C9)</f>
        <v>8603917.764166275</v>
      </c>
      <c r="H10" s="14" t="s">
        <v>3</v>
      </c>
      <c r="I10" s="1"/>
    </row>
    <row r="11" spans="1:9" x14ac:dyDescent="0.45">
      <c r="A11" s="1"/>
      <c r="B11" s="105" t="s">
        <v>109</v>
      </c>
      <c r="C11" s="106"/>
      <c r="D11" s="106"/>
      <c r="E11" s="106"/>
      <c r="F11" s="107"/>
      <c r="G11" s="26">
        <v>0</v>
      </c>
      <c r="H11" s="14" t="s">
        <v>3</v>
      </c>
      <c r="I11" s="1"/>
    </row>
    <row r="12" spans="1:9" x14ac:dyDescent="0.45">
      <c r="A12" s="1"/>
      <c r="B12" s="102" t="s">
        <v>110</v>
      </c>
      <c r="C12" s="103"/>
      <c r="D12" s="103"/>
      <c r="E12" s="103"/>
      <c r="F12" s="104"/>
      <c r="G12" s="26">
        <f>G10*'Fane 14. Nøgletal'!C17+G11*'Fane 14. Nøgletal'!C18</f>
        <v>78295.651653913112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9" t="s">
        <v>111</v>
      </c>
      <c r="C15" s="100"/>
      <c r="D15" s="100"/>
      <c r="E15" s="100"/>
      <c r="F15" s="100"/>
      <c r="G15" s="100"/>
      <c r="H15" s="101"/>
      <c r="I15" s="1"/>
    </row>
    <row r="16" spans="1:9" x14ac:dyDescent="0.45">
      <c r="A16" s="1"/>
      <c r="B16" s="102" t="s">
        <v>112</v>
      </c>
      <c r="C16" s="103"/>
      <c r="D16" s="103"/>
      <c r="E16" s="103"/>
      <c r="F16" s="104"/>
      <c r="G16" s="26">
        <f>(G10+G11-G12)*(1+'Fane 14. Nøgletal'!C11)</f>
        <v>8669705.1262138188</v>
      </c>
      <c r="H16" s="14" t="s">
        <v>3</v>
      </c>
      <c r="I16" s="1"/>
    </row>
    <row r="17" spans="1:9" x14ac:dyDescent="0.45">
      <c r="A17" s="1"/>
      <c r="B17" s="102" t="s">
        <v>223</v>
      </c>
      <c r="C17" s="103"/>
      <c r="D17" s="103"/>
      <c r="E17" s="103"/>
      <c r="F17" s="104"/>
      <c r="G17" s="26">
        <v>183306.52407406602</v>
      </c>
      <c r="H17" s="14" t="s">
        <v>3</v>
      </c>
      <c r="I17" s="1"/>
    </row>
    <row r="18" spans="1:9" x14ac:dyDescent="0.45">
      <c r="A18" s="1"/>
      <c r="B18" s="105" t="s">
        <v>113</v>
      </c>
      <c r="C18" s="106"/>
      <c r="D18" s="106"/>
      <c r="E18" s="106"/>
      <c r="F18" s="107"/>
      <c r="G18" s="26">
        <v>487592.40013978333</v>
      </c>
      <c r="H18" s="14" t="s">
        <v>3</v>
      </c>
      <c r="I18" s="1"/>
    </row>
    <row r="19" spans="1:9" x14ac:dyDescent="0.45">
      <c r="A19" s="1"/>
      <c r="B19" s="102" t="s">
        <v>114</v>
      </c>
      <c r="C19" s="103"/>
      <c r="D19" s="103"/>
      <c r="E19" s="103"/>
      <c r="F19" s="104"/>
      <c r="G19" s="26">
        <f>SUM(G16:G18)*'Fane 14. Nøgletal'!C19</f>
        <v>81263.255238720711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9" t="s">
        <v>115</v>
      </c>
      <c r="C22" s="100"/>
      <c r="D22" s="100"/>
      <c r="E22" s="100"/>
      <c r="F22" s="100"/>
      <c r="G22" s="100"/>
      <c r="H22" s="101"/>
      <c r="I22" s="1"/>
    </row>
    <row r="23" spans="1:9" x14ac:dyDescent="0.45">
      <c r="A23" s="1"/>
      <c r="B23" s="102" t="s">
        <v>116</v>
      </c>
      <c r="C23" s="103"/>
      <c r="D23" s="103"/>
      <c r="E23" s="103"/>
      <c r="F23" s="104"/>
      <c r="G23" s="26">
        <f>(SUM(G16:G18)-G19)*(1+'Fane 14. Nøgletal'!C11)</f>
        <v>9415823.6546276398</v>
      </c>
      <c r="H23" s="14" t="s">
        <v>3</v>
      </c>
      <c r="I23" s="1"/>
    </row>
    <row r="24" spans="1:9" x14ac:dyDescent="0.45">
      <c r="A24" s="1"/>
      <c r="B24" s="105" t="s">
        <v>117</v>
      </c>
      <c r="C24" s="106"/>
      <c r="D24" s="106"/>
      <c r="E24" s="106"/>
      <c r="F24" s="107"/>
      <c r="G24" s="26">
        <f>('Fane 2.1. Økonomisk ramme 2020'!C11+'Fane 2.1. Økonomisk ramme 2020'!C13+'Fane 2.1. Økonomisk ramme 2020'!C15)*(1+'Fane 14. Nøgletal'!C12)</f>
        <v>357856.13989444397</v>
      </c>
      <c r="H24" s="14" t="s">
        <v>3</v>
      </c>
      <c r="I24" s="1"/>
    </row>
    <row r="25" spans="1:9" x14ac:dyDescent="0.45">
      <c r="A25" s="1"/>
      <c r="B25" s="102" t="s">
        <v>118</v>
      </c>
      <c r="C25" s="103"/>
      <c r="D25" s="103"/>
      <c r="E25" s="103"/>
      <c r="F25" s="104"/>
      <c r="G25" s="26">
        <f>G23*'Fane 14. Nøgletal'!C19+G24*'Fane 14. Nøgletal'!C20</f>
        <v>92080.78016826266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9" t="s">
        <v>190</v>
      </c>
      <c r="C28" s="100"/>
      <c r="D28" s="100"/>
      <c r="E28" s="100"/>
      <c r="F28" s="100"/>
      <c r="G28" s="100"/>
      <c r="H28" s="101"/>
      <c r="I28" s="1"/>
    </row>
    <row r="29" spans="1:9" x14ac:dyDescent="0.45">
      <c r="A29" s="1"/>
      <c r="B29" s="102" t="s">
        <v>119</v>
      </c>
      <c r="C29" s="103"/>
      <c r="D29" s="103"/>
      <c r="E29" s="103"/>
      <c r="F29" s="104"/>
      <c r="G29" s="26">
        <f>(G23+G24-G25)*(1+'Fane 14. Nøgletal'!C12)</f>
        <v>9872326.5149365924</v>
      </c>
      <c r="H29" s="14" t="s">
        <v>3</v>
      </c>
      <c r="I29" s="1"/>
    </row>
    <row r="30" spans="1:9" x14ac:dyDescent="0.45">
      <c r="A30" s="1"/>
      <c r="B30" s="102" t="s">
        <v>151</v>
      </c>
      <c r="C30" s="103"/>
      <c r="D30" s="103"/>
      <c r="E30" s="103"/>
      <c r="F30" s="104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102" t="s">
        <v>219</v>
      </c>
      <c r="C31" s="103"/>
      <c r="D31" s="103"/>
      <c r="E31" s="103"/>
      <c r="F31" s="104"/>
      <c r="G31" s="26">
        <f>(G29+G30)*'Fane 14. Nøgletal'!C20</f>
        <v>280374.07302419923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9" t="s">
        <v>128</v>
      </c>
      <c r="C34" s="100"/>
      <c r="D34" s="100"/>
      <c r="E34" s="100"/>
      <c r="F34" s="100"/>
      <c r="G34" s="100"/>
      <c r="H34" s="101"/>
      <c r="I34" s="1"/>
    </row>
    <row r="35" spans="1:9" x14ac:dyDescent="0.45">
      <c r="A35" s="1"/>
      <c r="B35" s="102" t="s">
        <v>123</v>
      </c>
      <c r="C35" s="103"/>
      <c r="D35" s="103"/>
      <c r="E35" s="103"/>
      <c r="F35" s="104"/>
      <c r="G35" s="26">
        <f>(G29-G31)*(1+'Fane 14. Nøgletal'!C12)</f>
        <v>9780913.9050180689</v>
      </c>
      <c r="H35" s="14" t="s">
        <v>3</v>
      </c>
      <c r="I35" s="1"/>
    </row>
    <row r="36" spans="1:9" x14ac:dyDescent="0.45">
      <c r="A36" s="1"/>
      <c r="B36" s="102" t="s">
        <v>152</v>
      </c>
      <c r="C36" s="103"/>
      <c r="D36" s="103"/>
      <c r="E36" s="103"/>
      <c r="F36" s="104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102" t="s">
        <v>120</v>
      </c>
      <c r="C37" s="103"/>
      <c r="D37" s="103"/>
      <c r="E37" s="103"/>
      <c r="F37" s="104"/>
      <c r="G37" s="26">
        <f>(G35+G36)*'Fane 14. Nøgletal'!C20</f>
        <v>277777.95490251319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9" t="s">
        <v>129</v>
      </c>
      <c r="C40" s="100"/>
      <c r="D40" s="100"/>
      <c r="E40" s="100"/>
      <c r="F40" s="100"/>
      <c r="G40" s="100"/>
      <c r="H40" s="101"/>
      <c r="I40" s="1"/>
    </row>
    <row r="41" spans="1:9" x14ac:dyDescent="0.45">
      <c r="A41" s="1"/>
      <c r="B41" s="102" t="s">
        <v>122</v>
      </c>
      <c r="C41" s="103"/>
      <c r="D41" s="103"/>
      <c r="E41" s="103"/>
      <c r="F41" s="104"/>
      <c r="G41" s="26">
        <f>(G35-G37)*(1+'Fane 14. Nøgletal'!C12)</f>
        <v>9690347.7283328325</v>
      </c>
      <c r="H41" s="14" t="s">
        <v>3</v>
      </c>
      <c r="I41" s="1"/>
    </row>
    <row r="42" spans="1:9" x14ac:dyDescent="0.45">
      <c r="A42" s="1"/>
      <c r="B42" s="102" t="s">
        <v>153</v>
      </c>
      <c r="C42" s="103"/>
      <c r="D42" s="103"/>
      <c r="E42" s="103"/>
      <c r="F42" s="104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102" t="s">
        <v>121</v>
      </c>
      <c r="C43" s="103"/>
      <c r="D43" s="103"/>
      <c r="E43" s="103"/>
      <c r="F43" s="104"/>
      <c r="G43" s="26">
        <f>(G41+G42)*'Fane 14. Nøgletal'!C20</f>
        <v>275205.87548465247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yC7iCTBXgDV5y2z9KpWurqWAR7SJQPcf4sYeNT8UZfp6pSDQIxhp/pFw/5K2VjXIAAJtzRQ60HeQKTAxpwnyw==" saltValue="KGgRI3vG4J/nF+VjTJA8S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6" t="s">
        <v>144</v>
      </c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45">
      <c r="A9" s="1"/>
      <c r="B9" s="102" t="s">
        <v>178</v>
      </c>
      <c r="C9" s="103"/>
      <c r="D9" s="103"/>
      <c r="E9" s="103"/>
      <c r="F9" s="104"/>
      <c r="G9" s="25">
        <v>0</v>
      </c>
      <c r="H9" s="14"/>
      <c r="I9" s="1"/>
    </row>
    <row r="10" spans="1:9" x14ac:dyDescent="0.45">
      <c r="A10" s="1"/>
      <c r="B10" s="102" t="s">
        <v>179</v>
      </c>
      <c r="C10" s="103"/>
      <c r="D10" s="103"/>
      <c r="E10" s="103"/>
      <c r="F10" s="104"/>
      <c r="G10" s="25">
        <v>1.0316673891231207E-2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9"/>
      <c r="C13" s="109"/>
      <c r="D13" s="109"/>
      <c r="E13" s="109"/>
      <c r="F13" s="109"/>
      <c r="G13" s="109"/>
      <c r="H13" s="109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8o42/duzETd2POLL3CwcCqnMXV0Ku66C1OckpQOjubsm4Ceq3SV2MZVC1aX4Cn/lIhWWsDD5R5dtHJ80cmvDjw==" saltValue="RdOVwUw8IJS6GTttykmgX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2021-09-15T00:29:44Z</dcterms:modified>
</cp:coreProperties>
</file>