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Ringsted Vand AS (V154)\ØR2024\"/>
    </mc:Choice>
  </mc:AlternateContent>
  <xr:revisionPtr revIDLastSave="0" documentId="13_ncr:1_{D9DD679F-364C-42E1-A1BD-B144249C45A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l="1"/>
  <c r="E31" i="42" s="1"/>
  <c r="E33" i="42" s="1"/>
  <c r="C8" i="2"/>
  <c r="C17" i="22" l="1"/>
  <c r="C17" i="15"/>
  <c r="E27" i="42"/>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<sst xmlns="http://schemas.openxmlformats.org/spreadsheetml/2006/main" count="554" uniqueCount="266">
  <si>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</si>
  <si>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</si>
  <si>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</si>
  <si>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</si>
  <si>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</si>
  <si>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</si>
  <si>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</si>
  <si>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</si>
  <si>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</si>
  <si>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</si>
  <si>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</si>
  <si>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</si>
  <si>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</si>
  <si>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</si>
  <si>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</si>
  <si>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</si>
  <si>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</si>
  <si>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</si>
  <si>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</si>
  <si>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</si>
  <si>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</si>
  <si>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</si>
  <si>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</si>
  <si>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</si>
  <si>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</si>
  <si>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</si>
  <si>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</si>
  <si>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</si>
  <si>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</si>
  <si>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</si>
  <si>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</si>
  <si>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</si>
  <si>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</si>
  <si>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</si>
  <si>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</si>
  <si>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</si>
  <si>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</si>
  <si>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</si>
  <si>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</si>
  <si>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</si>
  <si>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</si>
  <si>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</si>
  <si>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</si>
  <si>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</si>
  <si>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</si>
  <si>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</si>
  <si>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</si>
  <si>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</si>
  <si>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</si>
  <si>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</si>
  <si>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</si>
  <si>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</si>
  <si>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</si>
  <si>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</si>
  <si>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</si>
  <si>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</si>
  <si>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</si>
  <si>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</si>
  <si>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</si>
  <si>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</si>
  <si>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</si>
  <si>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</si>
  <si>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</si>
  <si>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</si>
  <si>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</si>
  <si>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</si>
  <si>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</si>
  <si>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</si>
  <si>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</si>
  <si>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</si>
  <si>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</si>
  <si>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</si>
  <si>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</si>
  <si>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</si>
  <si>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</si>
  <si>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</si>
  <si>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</si>
  <si>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</si>
  <si>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</si>
  <si>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</si>
  <si>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</si>
  <si>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</si>
  <si>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</si>
  <si>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</si>
  <si>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</si>
  <si>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</si>
  <si>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</si>
  <si>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</si>
  <si>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</si>
  <si>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</si>
  <si>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</si>
  <si>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</si>
  <si>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</si>
  <si>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</si>
  <si>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</si>
  <si>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</si>
  <si>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</si>
  <si>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</si>
  <si>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</si>
  <si>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</si>
  <si>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</si>
  <si>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</si>
  <si>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</si>
  <si>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</si>
  <si>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</si>
  <si>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</si>
  <si>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</si>
  <si>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</si>
  <si>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</si>
  <si>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</si>
  <si>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</si>
  <si>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</si>
  <si>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</si>
  <si>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</si>
  <si>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</si>
  <si>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</si>
  <si>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</si>
  <si>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</si>
  <si>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</si>
  <si>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</si>
  <si>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</si>
  <si>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</si>
  <si>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</si>
  <si>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</si>
  <si>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</si>
  <si>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</si>
  <si>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</si>
  <si>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</si>
  <si>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</si>
  <si>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</si>
  <si>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</si>
  <si>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</si>
  <si>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</si>
  <si>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</si>
  <si>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</si>
  <si>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</si>
  <si>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</si>
  <si>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</si>
  <si>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</si>
  <si>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</si>
  <si>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</si>
  <si>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</si>
  <si>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</si>
  <si>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</si>
  <si>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</si>
  <si>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</si>
  <si>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</si>
  <si>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</si>
  <si>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</si>
  <si>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</si>
  <si>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</si>
  <si>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</si>
  <si>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</si>
  <si>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</si>
  <si>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</si>
  <si>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</si>
  <si>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</si>
  <si>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</si>
  <si>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</si>
  <si>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</si>
  <si>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</si>
  <si>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</si>
  <si>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</si>
  <si>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</si>
  <si>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</si>
  <si>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</si>
  <si>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</si>
  <si>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</si>
  <si>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</si>
  <si>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</si>
  <si>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</si>
  <si>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</si>
  <si>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</si>
  <si>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</si>
  <si>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</si>
  <si>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</si>
  <si>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</si>
  <si>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</si>
  <si>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</si>
  <si>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</si>
  <si>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</si>
  <si>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</si>
  <si>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</si>
  <si>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</si>
  <si>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</si>
  <si>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</si>
  <si>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</si>
  <si>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</si>
  <si>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</si>
  <si>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</si>
  <si>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</si>
  <si>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</si>
  <si>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</si>
  <si>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</si>
  <si>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</si>
  <si>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</si>
  <si>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</si>
  <si>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</si>
  <si>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</si>
  <si>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</si>
  <si>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</si>
  <si>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</si>
  <si>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</si>
  <si>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</si>
  <si>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</si>
  <si>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</si>
  <si>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</si>
  <si>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</si>
  <si>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</si>
  <si>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</si>
  <si>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</si>
  <si>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</si>
  <si>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</si>
  <si>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</si>
  <si>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</si>
  <si>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</si>
  <si>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</si>
  <si>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</si>
  <si>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</si>
  <si>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</si>
  <si>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</si>
  <si>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</si>
  <si>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</si>
  <si>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</si>
  <si>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</si>
  <si>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</si>
  <si>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</si>
  <si>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</si>
  <si>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</si>
  <si>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</si>
  <si>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</si>
  <si>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</si>
  <si>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</si>
  <si>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</si>
  <si>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</si>
  <si>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</si>
  <si>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</si>
  <si>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</si>
  <si>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</si>
  <si>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</si>
  <si>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</si>
  <si>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</si>
  <si>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</si>
  <si>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</si>
  <si>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</si>
  <si>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</si>
  <si>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</si>
  <si>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Tjenestemandspensioner</t>
  </si>
  <si>
    <t>Vandsamarbejde etableret i medfør af § 52b i vandforsyningsloven</t>
  </si>
  <si>
    <t>Byggemodning</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</si>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</sst>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1"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S6gU2HkRsS+MLS3CWtJU9vmnAVL/wkRIYkHBWNBiQZW75cIPvBhNtzgI9zz4EJ8fnig+mu+9rg2SpzvHQdu8eg==" saltValue="Yk69ZnSVIKK34Xwg1j3/z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243</v>
      </c>
      <c r="C10" s="9">
        <v>11905667</v>
      </c>
      <c r="D10" s="14" t="s">
        <v>3</v>
      </c>
      <c r="E10" s="1"/>
      <c r="F10" s="1"/>
    </row>
    <row r="11" spans="1:6" x14ac:dyDescent="0.25">
      <c r="A11" s="1"/>
      <c r="B11" s="71" t="s">
        <v>244</v>
      </c>
      <c r="C11" s="9">
        <v>94523</v>
      </c>
      <c r="D11" s="14" t="s">
        <v>3</v>
      </c>
      <c r="E11" s="1"/>
      <c r="F11" s="1"/>
    </row>
    <row r="12" spans="1:6" ht="26.25" x14ac:dyDescent="0.25">
      <c r="A12" s="1"/>
      <c r="B12" s="54" t="s">
        <v>245</v>
      </c>
      <c r="C12" s="9">
        <v>6493.61</v>
      </c>
      <c r="D12" s="14" t="s">
        <v>3</v>
      </c>
      <c r="E12" s="1"/>
      <c r="F12" s="1"/>
    </row>
    <row r="13" spans="1:6" x14ac:dyDescent="0.25">
      <c r="A13" s="1"/>
      <c r="B13" s="71" t="s">
        <v>246</v>
      </c>
      <c r="C13" s="9">
        <v>27228.97</v>
      </c>
      <c r="D13" s="14" t="s">
        <v>3</v>
      </c>
      <c r="E13" s="1"/>
      <c r="F13" s="1"/>
    </row>
    <row r="14" spans="1:6" x14ac:dyDescent="0.25">
      <c r="A14" s="1"/>
      <c r="B14" s="71" t="s">
        <v>247</v>
      </c>
      <c r="C14" s="9">
        <v>62490.8</v>
      </c>
      <c r="D14" s="14" t="s">
        <v>3</v>
      </c>
      <c r="E14" s="1"/>
      <c r="F14" s="1"/>
    </row>
    <row r="15" spans="1:6" ht="26.25" x14ac:dyDescent="0.25">
      <c r="A15" s="1"/>
      <c r="B15" s="54" t="s">
        <v>248</v>
      </c>
      <c r="C15" s="9">
        <v>98700</v>
      </c>
      <c r="D15" s="14" t="s">
        <v>3</v>
      </c>
      <c r="E15" s="1"/>
      <c r="F15" s="1"/>
    </row>
    <row r="16" spans="1:6" x14ac:dyDescent="0.25">
      <c r="A16" s="1"/>
      <c r="B16" s="71"/>
      <c r="C16" s="9"/>
      <c r="D16" s="14" t="s">
        <v>3</v>
      </c>
      <c r="E16" s="1"/>
      <c r="F16" s="1"/>
    </row>
    <row r="17" spans="1:6" x14ac:dyDescent="0.25">
      <c r="A17" s="1"/>
      <c r="B17" s="71"/>
      <c r="C17" s="9"/>
      <c r="D17" s="14" t="s">
        <v>3</v>
      </c>
      <c r="E17" s="1"/>
      <c r="F17" s="1"/>
    </row>
    <row r="18" spans="1:6" x14ac:dyDescent="0.25">
      <c r="A18" s="1"/>
      <c r="B18" s="71"/>
      <c r="C18" s="9"/>
      <c r="D18" s="14" t="s">
        <v>3</v>
      </c>
      <c r="E18" s="1"/>
      <c r="F18" s="1"/>
    </row>
    <row r="19" spans="1:6" x14ac:dyDescent="0.25">
      <c r="A19" s="1"/>
      <c r="B19" s="51" t="s">
        <v>213</v>
      </c>
      <c r="C19" s="12">
        <f>SUM(C10:C18)</f>
        <v>12195103.380000001</v>
      </c>
      <c r="D19" s="13" t="s">
        <v>3</v>
      </c>
      <c r="E19" s="1"/>
      <c r="F19" s="1"/>
    </row>
    <row r="20" spans="1:6" x14ac:dyDescent="0.25">
      <c r="A20" s="1"/>
      <c r="B20" s="51" t="s">
        <v>214</v>
      </c>
      <c r="C20" s="12">
        <f>C19*(1+'Fane 13. Nøgletal'!C16)^2</f>
        <v>14245449.525938803</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cc+f9OBC2gqNwIuS51VZq7qQI8sp3pVMGcXyBHs/X0guNCxsYSjUJncsTx4fGieTl34b50Fixod0nRUz5kz5QA==" saltValue="RIlv4RySInlHRSCnzj3Zp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2F37-2EBB-4077-99BC-1C941CB5CD26}">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8"/>
      <c r="D6" s="59"/>
      <c r="E6" s="64"/>
      <c r="F6" s="64"/>
      <c r="G6" s="1"/>
    </row>
    <row r="7" spans="1:7" x14ac:dyDescent="0.25">
      <c r="A7" s="1"/>
      <c r="B7" s="1"/>
      <c r="C7" s="1"/>
      <c r="D7" s="1"/>
      <c r="E7" s="60"/>
      <c r="F7" s="1"/>
      <c r="G7" s="1"/>
    </row>
    <row r="8" spans="1:7" x14ac:dyDescent="0.25">
      <c r="A8" s="1"/>
      <c r="B8" s="107" t="s">
        <v>251</v>
      </c>
      <c r="C8" s="108"/>
      <c r="D8" s="108"/>
      <c r="E8" s="108"/>
      <c r="F8" s="109"/>
      <c r="G8" s="1"/>
    </row>
    <row r="9" spans="1:7" x14ac:dyDescent="0.25">
      <c r="A9" s="1"/>
      <c r="B9" s="101" t="s">
        <v>252</v>
      </c>
      <c r="C9" s="102"/>
      <c r="D9" s="103"/>
      <c r="E9" s="28">
        <v>-229799</v>
      </c>
      <c r="F9" s="14" t="s">
        <v>3</v>
      </c>
      <c r="G9" s="1"/>
    </row>
    <row r="10" spans="1:7" x14ac:dyDescent="0.25">
      <c r="A10" s="1"/>
      <c r="B10" s="51"/>
      <c r="C10" s="52"/>
      <c r="D10" s="52"/>
      <c r="E10" s="52"/>
      <c r="F10" s="19"/>
      <c r="G10" s="1"/>
    </row>
    <row r="11" spans="1:7" ht="53.25" customHeight="1" x14ac:dyDescent="0.25">
      <c r="A11" s="1"/>
      <c r="B11" s="126" t="s">
        <v>253</v>
      </c>
      <c r="C11" s="127"/>
      <c r="D11" s="127"/>
      <c r="E11" s="127"/>
      <c r="F11" s="128"/>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254</v>
      </c>
      <c r="C14" s="102"/>
      <c r="D14" s="103"/>
      <c r="E14" s="9">
        <v>-114899</v>
      </c>
      <c r="F14" s="14" t="s">
        <v>3</v>
      </c>
      <c r="G14" s="1"/>
    </row>
    <row r="15" spans="1:7" x14ac:dyDescent="0.25">
      <c r="A15" s="1"/>
      <c r="B15" s="101" t="s">
        <v>255</v>
      </c>
      <c r="C15" s="102"/>
      <c r="D15" s="103"/>
      <c r="E15" s="9">
        <v>-114899</v>
      </c>
      <c r="F15" s="14" t="s">
        <v>3</v>
      </c>
      <c r="G15" s="1"/>
    </row>
    <row r="16" spans="1:7" x14ac:dyDescent="0.25">
      <c r="A16" s="1"/>
      <c r="B16" s="51"/>
      <c r="C16" s="52"/>
      <c r="D16" s="52"/>
      <c r="E16" s="52"/>
      <c r="F16" s="19"/>
      <c r="G16" s="1"/>
    </row>
    <row r="17" spans="1:7" ht="32.25" customHeight="1" x14ac:dyDescent="0.25">
      <c r="A17" s="1"/>
      <c r="B17" s="126" t="s">
        <v>256</v>
      </c>
      <c r="C17" s="127"/>
      <c r="D17" s="127"/>
      <c r="E17" s="127"/>
      <c r="F17" s="128"/>
      <c r="G17" s="1"/>
    </row>
    <row r="18" spans="1:7" x14ac:dyDescent="0.25">
      <c r="A18" s="1"/>
      <c r="B18" s="1"/>
      <c r="C18" s="1"/>
      <c r="D18" s="1"/>
      <c r="E18" s="1"/>
      <c r="F18" s="1"/>
      <c r="G18" s="1"/>
    </row>
    <row r="19" spans="1:7" x14ac:dyDescent="0.25">
      <c r="A19" s="1"/>
      <c r="B19" s="65" t="s">
        <v>257</v>
      </c>
      <c r="C19" s="66"/>
      <c r="D19" s="66"/>
      <c r="E19" s="66"/>
      <c r="F19" s="67"/>
      <c r="G19" s="1"/>
    </row>
    <row r="20" spans="1:7" x14ac:dyDescent="0.25">
      <c r="A20" s="1"/>
      <c r="B20" s="68" t="s">
        <v>258</v>
      </c>
      <c r="C20" s="69"/>
      <c r="D20" s="70"/>
      <c r="E20" s="9">
        <v>26546651</v>
      </c>
      <c r="F20" s="14" t="s">
        <v>3</v>
      </c>
      <c r="G20" s="1"/>
    </row>
    <row r="21" spans="1:7" x14ac:dyDescent="0.25">
      <c r="A21" s="1"/>
      <c r="B21" s="68" t="s">
        <v>259</v>
      </c>
      <c r="C21" s="69"/>
      <c r="D21" s="70"/>
      <c r="E21" s="9">
        <v>26654067</v>
      </c>
      <c r="F21" s="14" t="s">
        <v>3</v>
      </c>
      <c r="G21" s="1"/>
    </row>
    <row r="22" spans="1:7" x14ac:dyDescent="0.25">
      <c r="A22" s="1"/>
      <c r="B22" s="68" t="s">
        <v>29</v>
      </c>
      <c r="C22" s="69"/>
      <c r="D22" s="70"/>
      <c r="E22" s="9">
        <v>0</v>
      </c>
      <c r="F22" s="14" t="s">
        <v>3</v>
      </c>
      <c r="G22" s="1"/>
    </row>
    <row r="23" spans="1:7" x14ac:dyDescent="0.25">
      <c r="A23" s="1"/>
      <c r="B23" s="73" t="s">
        <v>260</v>
      </c>
      <c r="C23" s="74"/>
      <c r="D23" s="75"/>
      <c r="E23" s="10">
        <f>E20-(E21-E22)</f>
        <v>-107416</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7" t="s">
        <v>261</v>
      </c>
      <c r="C26" s="108"/>
      <c r="D26" s="108"/>
      <c r="E26" s="108"/>
      <c r="F26" s="109"/>
      <c r="G26" s="1"/>
    </row>
    <row r="27" spans="1:7" x14ac:dyDescent="0.25">
      <c r="A27" s="1"/>
      <c r="B27" s="129" t="s">
        <v>262</v>
      </c>
      <c r="C27" s="130"/>
      <c r="D27" s="131"/>
      <c r="E27" s="61">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263</v>
      </c>
      <c r="C30" s="108"/>
      <c r="D30" s="108"/>
      <c r="E30" s="108"/>
      <c r="F30" s="109"/>
      <c r="G30" s="1"/>
    </row>
    <row r="31" spans="1:7" x14ac:dyDescent="0.25">
      <c r="A31" s="1"/>
      <c r="B31" s="119" t="s">
        <v>117</v>
      </c>
      <c r="C31" s="120"/>
      <c r="D31" s="121"/>
      <c r="E31" s="62">
        <f>IF(AND(E9&gt;0,(E9+E23)&gt;0),0,IF(AND(E9&gt;0,(E9+E23)&lt;0),(E9+E23),IF(AND(E9&lt;0,E23&lt;0),E23,0)))</f>
        <v>-107416</v>
      </c>
      <c r="F31" s="14" t="s">
        <v>3</v>
      </c>
      <c r="G31" s="1"/>
    </row>
    <row r="32" spans="1:7" x14ac:dyDescent="0.25">
      <c r="A32" s="1"/>
      <c r="B32" s="119" t="s">
        <v>85</v>
      </c>
      <c r="C32" s="120"/>
      <c r="D32" s="121"/>
      <c r="E32" s="9">
        <v>2</v>
      </c>
      <c r="F32" s="14" t="s">
        <v>18</v>
      </c>
      <c r="G32" s="1"/>
    </row>
    <row r="33" spans="1:7" x14ac:dyDescent="0.25">
      <c r="A33" s="1"/>
      <c r="B33" s="122" t="s">
        <v>116</v>
      </c>
      <c r="C33" s="122"/>
      <c r="D33" s="122"/>
      <c r="E33" s="61">
        <f>E31/E32</f>
        <v>-53708</v>
      </c>
      <c r="F33" s="17" t="s">
        <v>3</v>
      </c>
      <c r="G33" s="1"/>
    </row>
    <row r="34" spans="1:7" x14ac:dyDescent="0.25">
      <c r="A34" s="1"/>
      <c r="B34" s="123"/>
      <c r="C34" s="124"/>
      <c r="D34" s="124"/>
      <c r="E34" s="124"/>
      <c r="F34" s="12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8V+iDgzMQbz/WT0dqjJwJgDVNZOLrX31U/5rCX/loZYFlDJTYWNGd9HeDHvyLK3IGNWbzSjgRcjlHbnFkNmqg==" saltValue="PTWN3cgDJbNs5rPSEA3yqg=="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eE0E5hwYf3vezWb1yINbtw39lYfYFeD0RXMvXodWfvfRJWNKEdlA+BNzQgICBiiiX5iQlYclgYXTE6UZZ9r+Uw==" saltValue="wXM8caKFcPNKy0fF7LYcE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qCByqVEAXQxKLZ3y9KRU0E8D8jKxjBPPlaeu2uvOksaAKZhImsQMNpwMHSwjw/uwNtpBq7QCPtQH/4Ye4/pFIw==" saltValue="8+0hOn8LFPXnkHpiiCZzy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249</v>
      </c>
      <c r="C11" s="21">
        <v>174354</v>
      </c>
      <c r="D11" s="14" t="s">
        <v>3</v>
      </c>
      <c r="E11" s="9">
        <v>138830</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174354</v>
      </c>
      <c r="D17" s="13" t="s">
        <v>3</v>
      </c>
      <c r="E17" s="12">
        <f>SUM(E10:E16)</f>
        <v>138830</v>
      </c>
      <c r="F17" s="13" t="s">
        <v>3</v>
      </c>
      <c r="G17" s="1"/>
    </row>
    <row r="18" spans="1:7" x14ac:dyDescent="0.25">
      <c r="A18" s="1"/>
      <c r="B18" s="51" t="s">
        <v>209</v>
      </c>
      <c r="C18" s="12">
        <f>C17*(1+'Fane 13. Nøgletal'!C16)</f>
        <v>188441.80319999999</v>
      </c>
      <c r="D18" s="13" t="s">
        <v>3</v>
      </c>
      <c r="E18" s="12">
        <f>E17*(1+'Fane 13. Nøgletal'!C16)</f>
        <v>150047.46400000001</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oEkKL13yhVJkLToUR1pp1Kk6hGSfsUwB6XtaaqutgHBBQTV3HCe/bgB4qTiZWfo0TXbB1mEyQMK3iXRscJgkTA==" saltValue="XxeSRFzvg/gzkQrpC/Jpn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250</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pd+tzp26t55hkKakbE2ns+nFarnzbwpBwiNzszu8FBftUl/0rZr8jQ7cd0PvLIHAKxZdV+up2B1oGX8Qi3vgw==" saltValue="1VssG6pUgAUv1Q2ub0vdW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3" t="s">
        <v>105</v>
      </c>
      <c r="C9" s="132" t="s">
        <v>10</v>
      </c>
      <c r="D9" s="134"/>
      <c r="E9" s="132" t="s">
        <v>27</v>
      </c>
      <c r="F9" s="134"/>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vkMoUCyJV02eRYvYpWFoBk5ZYyYmr5sUL7UO+LavSwvNWJEv4yatmZktTEfXtg4TZ/0hLIgjiv+ZpJoW8jkBxw==" saltValue="0gZTGk6aIAwI+t4zGJw+6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czowsIYQkiQBntxVVfr7wzmWcmHKRxvdiu6cl1MdYjPutVj6lJHX7vWFhe/2qfkM+cLhnJk++3iQ9sMLpDwBg==" saltValue="bPsHvNVJtgkstogLBZjtK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71"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I6ijriA4kB22DRN80tm4ODYufDWI6S00zKrgEgJrT2u+PUHIpSJuULzNw6PHijTbB6b8IQeeKFhBNBh6sVI5NQ==" saltValue="Xxxcs7EAlbqmLpsYweWk4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17131552.277608559</v>
      </c>
      <c r="D8" s="8" t="s">
        <v>3</v>
      </c>
      <c r="E8" s="1"/>
    </row>
    <row r="9" spans="1:5" ht="17.100000000000001" customHeight="1" x14ac:dyDescent="0.25">
      <c r="A9" s="1"/>
      <c r="B9" s="24" t="s">
        <v>33</v>
      </c>
      <c r="C9" s="7">
        <f>'Fane 10.1. Varige tillæg'!C18</f>
        <v>188441.80319999999</v>
      </c>
      <c r="D9" s="8" t="s">
        <v>3</v>
      </c>
      <c r="E9" s="1"/>
    </row>
    <row r="10" spans="1:5" ht="17.100000000000001" customHeight="1" x14ac:dyDescent="0.25">
      <c r="A10" s="1"/>
      <c r="B10" s="24" t="s">
        <v>34</v>
      </c>
      <c r="C10" s="9">
        <f>'Fane 10.1. Varige tillæg'!E18</f>
        <v>150047.46400000001</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637233.19387262466</v>
      </c>
      <c r="D15" s="8" t="s">
        <v>3</v>
      </c>
      <c r="E15" s="1"/>
    </row>
    <row r="16" spans="1:5" ht="17.100000000000001" customHeight="1" x14ac:dyDescent="0.25">
      <c r="A16" s="1"/>
      <c r="B16" s="24" t="s">
        <v>9</v>
      </c>
      <c r="C16" s="9">
        <f>-SUM(C8,C9:C15)*'Fane 5. Individuelt eff. krav'!G9</f>
        <v>-34409.090441802698</v>
      </c>
      <c r="D16" s="8" t="s">
        <v>3</v>
      </c>
      <c r="E16" s="1"/>
    </row>
    <row r="17" spans="1:5" ht="17.100000000000001" customHeight="1" x14ac:dyDescent="0.25">
      <c r="A17" s="1"/>
      <c r="B17" s="24" t="s">
        <v>22</v>
      </c>
      <c r="C17" s="9">
        <f>-'Fane 4.1. Gen. krav - drift'!G49</f>
        <v>-184374.17290769448</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17888491.475331683</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14245449.525938803</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6">
        <f>SUM(C23:C26)</f>
        <v>0</v>
      </c>
      <c r="D27" s="11" t="s">
        <v>3</v>
      </c>
      <c r="E27" s="1"/>
    </row>
    <row r="28" spans="1:5" ht="15" customHeight="1" x14ac:dyDescent="0.25">
      <c r="A28" s="1"/>
      <c r="B28" s="26" t="s">
        <v>117</v>
      </c>
      <c r="C28" s="52"/>
      <c r="D28" s="19"/>
      <c r="E28" s="1"/>
    </row>
    <row r="29" spans="1:5" x14ac:dyDescent="0.25">
      <c r="A29" s="1"/>
      <c r="B29" s="72" t="s">
        <v>118</v>
      </c>
      <c r="C29" s="10">
        <f>'Fane 7. Kontrol af ØR2022'!E15</f>
        <v>-114899</v>
      </c>
      <c r="D29" s="11" t="s">
        <v>3</v>
      </c>
      <c r="E29" s="1"/>
    </row>
    <row r="30" spans="1:5" x14ac:dyDescent="0.25">
      <c r="A30" s="1"/>
      <c r="B30" s="26" t="s">
        <v>138</v>
      </c>
      <c r="C30" s="52"/>
      <c r="D30" s="19"/>
      <c r="E30" s="1"/>
    </row>
    <row r="31" spans="1:5" x14ac:dyDescent="0.25">
      <c r="A31" s="1"/>
      <c r="B31" s="72" t="s">
        <v>139</v>
      </c>
      <c r="C31" s="10">
        <f>'Fane 8. Skattesagen'!G13</f>
        <v>0</v>
      </c>
      <c r="D31" s="11" t="s">
        <v>3</v>
      </c>
      <c r="E31" s="1"/>
    </row>
    <row r="32" spans="1:5" x14ac:dyDescent="0.25">
      <c r="A32" s="1"/>
      <c r="B32" s="26" t="s">
        <v>264</v>
      </c>
      <c r="C32" s="52"/>
      <c r="D32" s="19"/>
      <c r="E32" s="1"/>
    </row>
    <row r="33" spans="1:5" x14ac:dyDescent="0.25">
      <c r="A33" s="1"/>
      <c r="B33" s="72" t="s">
        <v>265</v>
      </c>
      <c r="C33" s="10">
        <v>718766.69219837687</v>
      </c>
      <c r="D33" s="11" t="s">
        <v>3</v>
      </c>
      <c r="E33" s="1"/>
    </row>
    <row r="34" spans="1:5" x14ac:dyDescent="0.25">
      <c r="A34" s="1"/>
      <c r="B34" s="51" t="s">
        <v>126</v>
      </c>
      <c r="C34" s="33">
        <f>SUM(C19,C21,C27,C29,C31,C33)</f>
        <v>32737808.693468865</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ujOeTJNhfgZ0R0aL0evylR1LJVg7lcYaz2SzyOGs2wHnTOlSMN964oNXyKM1tyGUzhSccEPAoNvzrzg8Wbu6A==" saltValue="pOY+vkBtO+v9A0SdsyNmt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17888491.475331683</v>
      </c>
      <c r="D8" s="8" t="s">
        <v>3</v>
      </c>
      <c r="E8" s="1"/>
    </row>
    <row r="9" spans="1:5" ht="15" customHeight="1" x14ac:dyDescent="0.25">
      <c r="A9" s="1"/>
      <c r="B9" s="29" t="s">
        <v>17</v>
      </c>
      <c r="C9" s="9">
        <f>SUM(C8:C8)*'Fane 13. Nøgletal'!C16</f>
        <v>1445390.1112068</v>
      </c>
      <c r="D9" s="8" t="s">
        <v>3</v>
      </c>
      <c r="E9" s="1"/>
    </row>
    <row r="10" spans="1:5" ht="15" customHeight="1" x14ac:dyDescent="0.25">
      <c r="A10" s="1"/>
      <c r="B10" s="29" t="s">
        <v>9</v>
      </c>
      <c r="C10" s="9">
        <f>-SUM(C8:C9)*'Fane 5. Individuelt eff. krav'!G9</f>
        <v>-36740.000342578329</v>
      </c>
      <c r="D10" s="8" t="s">
        <v>3</v>
      </c>
      <c r="E10" s="1"/>
    </row>
    <row r="11" spans="1:5" ht="15" customHeight="1" x14ac:dyDescent="0.25">
      <c r="A11" s="1"/>
      <c r="B11" s="29" t="s">
        <v>22</v>
      </c>
      <c r="C11" s="9">
        <f>-'Fane 4.1. Gen. krav - drift'!G54</f>
        <v>-195286.1739570635</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19101855.41223884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15396481.847634658</v>
      </c>
      <c r="D15" s="11" t="s">
        <v>3</v>
      </c>
      <c r="E15" s="1"/>
    </row>
    <row r="16" spans="1:5" x14ac:dyDescent="0.25">
      <c r="A16" s="1"/>
      <c r="B16" s="26" t="s">
        <v>117</v>
      </c>
      <c r="C16" s="52"/>
      <c r="D16" s="19"/>
      <c r="E16" s="1"/>
    </row>
    <row r="17" spans="1:5" ht="15" customHeight="1" x14ac:dyDescent="0.25">
      <c r="A17" s="1"/>
      <c r="B17" s="72" t="s">
        <v>118</v>
      </c>
      <c r="C17" s="10">
        <f>'Fane 7. Kontrol af ØR2022'!E33</f>
        <v>-53708</v>
      </c>
      <c r="D17" s="11" t="s">
        <v>3</v>
      </c>
      <c r="E17" s="1"/>
    </row>
    <row r="18" spans="1:5" x14ac:dyDescent="0.25">
      <c r="A18" s="1"/>
      <c r="B18" s="26" t="s">
        <v>138</v>
      </c>
      <c r="C18" s="52"/>
      <c r="D18" s="19"/>
      <c r="E18" s="1"/>
    </row>
    <row r="19" spans="1:5" x14ac:dyDescent="0.25">
      <c r="A19" s="1"/>
      <c r="B19" s="72" t="s">
        <v>139</v>
      </c>
      <c r="C19" s="10">
        <f>'Fane 8. Skattesagen'!G13</f>
        <v>0</v>
      </c>
      <c r="D19" s="11" t="s">
        <v>3</v>
      </c>
      <c r="E19" s="1"/>
    </row>
    <row r="20" spans="1:5" x14ac:dyDescent="0.25">
      <c r="A20" s="1"/>
      <c r="B20" s="51" t="s">
        <v>128</v>
      </c>
      <c r="C20" s="12">
        <f>SUM(C13,C15,C17,C19)</f>
        <v>34444629.259873495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gfDu+XgktJSc4rHgVak2ImQjGmPi+m6QG7Hf+fc/z+JVUDW6ae3VD6DtBi4ornoXNz2n9TyxcJ/3GVrpKubLg==" saltValue="gNI7waxd71G208s7goyrR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19101855.41223884</v>
      </c>
      <c r="D8" s="8" t="s">
        <v>3</v>
      </c>
      <c r="E8" s="1"/>
    </row>
    <row r="9" spans="1:5" ht="15" customHeight="1" x14ac:dyDescent="0.25">
      <c r="A9" s="1"/>
      <c r="B9" s="29" t="s">
        <v>17</v>
      </c>
      <c r="C9" s="9">
        <f>SUM(C8:C8)*'Fane 13. Nøgletal'!C16</f>
        <v>1543429.9173088982</v>
      </c>
      <c r="D9" s="8" t="s">
        <v>3</v>
      </c>
      <c r="E9" s="1"/>
    </row>
    <row r="10" spans="1:5" ht="15" customHeight="1" x14ac:dyDescent="0.25">
      <c r="A10" s="1"/>
      <c r="B10" s="29" t="s">
        <v>9</v>
      </c>
      <c r="C10" s="9">
        <f>-SUM(C8:C9)*'Fane 5. Individuelt eff. krav'!G9</f>
        <v>-39232.049016392761</v>
      </c>
      <c r="D10" s="8" t="s">
        <v>3</v>
      </c>
      <c r="E10" s="1"/>
    </row>
    <row r="11" spans="1:5" ht="15" customHeight="1" x14ac:dyDescent="0.25">
      <c r="A11" s="1"/>
      <c r="B11" s="29" t="s">
        <v>22</v>
      </c>
      <c r="C11" s="9">
        <f>-'Fane 4.1. Gen. krav - drift'!G59</f>
        <v>-206843.99087653836</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20399209.289654806</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16640517.580923539</v>
      </c>
      <c r="D15" s="11" t="s">
        <v>3</v>
      </c>
      <c r="E15" s="1"/>
    </row>
    <row r="16" spans="1:5" x14ac:dyDescent="0.25">
      <c r="A16" s="1"/>
      <c r="B16" s="51" t="s">
        <v>117</v>
      </c>
      <c r="C16" s="52"/>
      <c r="D16" s="19"/>
      <c r="E16" s="1"/>
    </row>
    <row r="17" spans="1:5" x14ac:dyDescent="0.25">
      <c r="A17" s="1"/>
      <c r="B17" s="53" t="s">
        <v>118</v>
      </c>
      <c r="C17" s="10">
        <f>'Fane 7. Kontrol af ØR2022'!E33</f>
        <v>-53708</v>
      </c>
      <c r="D17" s="11" t="s">
        <v>3</v>
      </c>
      <c r="E17" s="1"/>
    </row>
    <row r="18" spans="1:5" ht="15" customHeight="1" x14ac:dyDescent="0.25">
      <c r="A18" s="1"/>
      <c r="B18" s="26" t="s">
        <v>138</v>
      </c>
      <c r="C18" s="52"/>
      <c r="D18" s="19"/>
      <c r="E18" s="1"/>
    </row>
    <row r="19" spans="1:5" ht="15" customHeight="1" x14ac:dyDescent="0.25">
      <c r="A19" s="1"/>
      <c r="B19" s="72" t="s">
        <v>139</v>
      </c>
      <c r="C19" s="10">
        <f>'Fane 8. Skattesagen'!G14</f>
        <v>0</v>
      </c>
      <c r="D19" s="11" t="s">
        <v>3</v>
      </c>
      <c r="E19" s="1"/>
    </row>
    <row r="20" spans="1:5" x14ac:dyDescent="0.25">
      <c r="A20" s="1"/>
      <c r="B20" s="51" t="s">
        <v>143</v>
      </c>
      <c r="C20" s="12">
        <f>SUM(C13,C15,C17,C19)</f>
        <v>36986018.870578349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fpTMKwFJ8Ek3IN2JdWaEHpfkrxZEsajodxF27WyH/2BgxuOEnvtNyE6pUx9YLPkb9oAAE/v4f9bM3U8l+MLkA==" saltValue="ivIpWb92JA4RgxgCjzMrb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20399209.289654806</v>
      </c>
      <c r="D8" s="8" t="s">
        <v>3</v>
      </c>
      <c r="E8" s="1"/>
    </row>
    <row r="9" spans="1:5" ht="15" customHeight="1" x14ac:dyDescent="0.25">
      <c r="A9" s="1"/>
      <c r="B9" s="29" t="s">
        <v>17</v>
      </c>
      <c r="C9" s="9">
        <f>SUM(C8:C8)*'Fane 13. Nøgletal'!C16</f>
        <v>1648256.1106041083</v>
      </c>
      <c r="D9" s="8" t="s">
        <v>3</v>
      </c>
      <c r="E9" s="1"/>
    </row>
    <row r="10" spans="1:5" ht="15" customHeight="1" x14ac:dyDescent="0.25">
      <c r="A10" s="1"/>
      <c r="B10" s="29" t="s">
        <v>9</v>
      </c>
      <c r="C10" s="9">
        <f>-SUM(C8:C9)*'Fane 5. Individuelt eff. krav'!G9</f>
        <v>-41896.59912484869</v>
      </c>
      <c r="D10" s="8" t="s">
        <v>3</v>
      </c>
      <c r="E10" s="1"/>
    </row>
    <row r="11" spans="1:5" ht="15" customHeight="1" x14ac:dyDescent="0.25">
      <c r="A11" s="1"/>
      <c r="B11" s="29" t="s">
        <v>22</v>
      </c>
      <c r="C11" s="9">
        <f>-'Fane 4.1. Gen. krav - drift'!G64</f>
        <v>-219085.84563257539</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21786482.955501489</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17985071.40146216</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2" t="s">
        <v>139</v>
      </c>
      <c r="C19" s="10">
        <f>'Fane 8. Skattesagen'!G15</f>
        <v>0</v>
      </c>
      <c r="D19" s="11" t="s">
        <v>3</v>
      </c>
      <c r="E19" s="1"/>
    </row>
    <row r="20" spans="1:5" x14ac:dyDescent="0.25">
      <c r="A20" s="1"/>
      <c r="B20" s="51" t="s">
        <v>205</v>
      </c>
      <c r="C20" s="12">
        <f>SUM(C13,C15,C17,C19)</f>
        <v>39771554.356963649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O8yoYBUsGBKjlP21r9nmMqsKxcmZXP9FUPuIts1QedkPk40zXinp/osiq46Xj3sGznY/6/RoyJGpPjE4Ltt9A==" saltValue="qglV7W8R/nMam56korAoB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15668940.087733848</v>
      </c>
      <c r="D8" s="8" t="s">
        <v>3</v>
      </c>
      <c r="E8" s="1"/>
    </row>
    <row r="9" spans="1:5" x14ac:dyDescent="0.25">
      <c r="A9" s="1"/>
      <c r="B9" s="24" t="s">
        <v>33</v>
      </c>
      <c r="C9" s="7">
        <v>492999.45120000001</v>
      </c>
      <c r="D9" s="8" t="s">
        <v>3</v>
      </c>
      <c r="E9" s="1"/>
    </row>
    <row r="10" spans="1:5" x14ac:dyDescent="0.25">
      <c r="A10" s="1"/>
      <c r="B10" s="24" t="s">
        <v>34</v>
      </c>
      <c r="C10" s="9">
        <v>584065.97279999999</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596157.79621772491</v>
      </c>
      <c r="D15" s="8" t="s">
        <v>3</v>
      </c>
      <c r="E15" s="1"/>
    </row>
    <row r="16" spans="1:5" x14ac:dyDescent="0.25">
      <c r="A16" s="1"/>
      <c r="B16" s="24" t="s">
        <v>9</v>
      </c>
      <c r="C16" s="9">
        <v>-32955.15610889106</v>
      </c>
      <c r="D16" s="8" t="s">
        <v>3</v>
      </c>
      <c r="E16" s="1"/>
    </row>
    <row r="17" spans="1:5" x14ac:dyDescent="0.25">
      <c r="A17" s="1"/>
      <c r="B17" s="24" t="s">
        <v>22</v>
      </c>
      <c r="C17" s="9">
        <v>-177655.87423412563</v>
      </c>
      <c r="D17" s="8" t="s">
        <v>3</v>
      </c>
      <c r="E17" s="1"/>
    </row>
    <row r="18" spans="1:5" x14ac:dyDescent="0.25">
      <c r="A18" s="1"/>
      <c r="B18" s="24" t="s">
        <v>23</v>
      </c>
      <c r="C18" s="9">
        <v>0</v>
      </c>
      <c r="D18" s="8" t="s">
        <v>3</v>
      </c>
      <c r="E18" s="1"/>
    </row>
    <row r="19" spans="1:5" x14ac:dyDescent="0.25">
      <c r="A19" s="1"/>
      <c r="B19" s="73" t="s">
        <v>19</v>
      </c>
      <c r="C19" s="10">
        <v>17131552.277608559</v>
      </c>
      <c r="D19" s="11" t="s">
        <v>3</v>
      </c>
      <c r="E19" s="1"/>
    </row>
    <row r="20" spans="1:5" x14ac:dyDescent="0.25">
      <c r="A20" s="1"/>
      <c r="B20" s="51" t="s">
        <v>11</v>
      </c>
      <c r="C20" s="52"/>
      <c r="D20" s="19"/>
      <c r="E20" s="1"/>
    </row>
    <row r="21" spans="1:5" x14ac:dyDescent="0.25">
      <c r="A21" s="1"/>
      <c r="B21" s="53" t="s">
        <v>11</v>
      </c>
      <c r="C21" s="10">
        <v>13004029.23396768</v>
      </c>
      <c r="D21" s="11" t="s">
        <v>3</v>
      </c>
      <c r="E21" s="1"/>
    </row>
    <row r="22" spans="1:5" x14ac:dyDescent="0.25">
      <c r="A22" s="1"/>
      <c r="B22" s="51" t="s">
        <v>75</v>
      </c>
      <c r="C22" s="52"/>
      <c r="D22" s="19"/>
      <c r="E22" s="1"/>
    </row>
    <row r="23" spans="1:5" x14ac:dyDescent="0.25">
      <c r="A23" s="1"/>
      <c r="B23" s="24" t="s">
        <v>71</v>
      </c>
      <c r="C23" s="9">
        <v>252812.73077280002</v>
      </c>
      <c r="D23" s="8" t="s">
        <v>3</v>
      </c>
      <c r="E23" s="1"/>
    </row>
    <row r="24" spans="1:5" x14ac:dyDescent="0.25">
      <c r="A24" s="1"/>
      <c r="B24" s="24" t="s">
        <v>72</v>
      </c>
      <c r="C24" s="9">
        <v>0</v>
      </c>
      <c r="D24" s="8" t="s">
        <v>3</v>
      </c>
      <c r="E24" s="1"/>
    </row>
    <row r="25" spans="1:5" x14ac:dyDescent="0.25">
      <c r="A25" s="1"/>
      <c r="B25" s="24" t="s">
        <v>164</v>
      </c>
      <c r="C25" s="9">
        <v>-5536.672361557642</v>
      </c>
      <c r="D25" s="8" t="s">
        <v>3</v>
      </c>
      <c r="E25" s="1"/>
    </row>
    <row r="26" spans="1:5" x14ac:dyDescent="0.25">
      <c r="A26" s="1"/>
      <c r="B26" s="24" t="s">
        <v>165</v>
      </c>
      <c r="C26" s="9">
        <v>0</v>
      </c>
      <c r="D26" s="8" t="s">
        <v>3</v>
      </c>
      <c r="E26" s="1"/>
    </row>
    <row r="27" spans="1:5" x14ac:dyDescent="0.25">
      <c r="A27" s="1"/>
      <c r="B27" s="73" t="s">
        <v>76</v>
      </c>
      <c r="C27" s="56">
        <v>247276.05841124238</v>
      </c>
      <c r="D27" s="11" t="s">
        <v>3</v>
      </c>
      <c r="E27" s="1"/>
    </row>
    <row r="28" spans="1:5" x14ac:dyDescent="0.25">
      <c r="A28" s="1"/>
      <c r="B28" s="26" t="s">
        <v>117</v>
      </c>
      <c r="C28" s="52"/>
      <c r="D28" s="19"/>
      <c r="E28" s="1"/>
    </row>
    <row r="29" spans="1:5" x14ac:dyDescent="0.25">
      <c r="A29" s="1"/>
      <c r="B29" s="72" t="s">
        <v>118</v>
      </c>
      <c r="C29" s="10">
        <v>-114899.36089032143</v>
      </c>
      <c r="D29" s="11" t="s">
        <v>3</v>
      </c>
      <c r="E29" s="1"/>
    </row>
    <row r="30" spans="1:5" x14ac:dyDescent="0.25">
      <c r="A30" s="1"/>
      <c r="B30" s="26" t="s">
        <v>138</v>
      </c>
      <c r="C30" s="52"/>
      <c r="D30" s="19"/>
      <c r="E30" s="1"/>
    </row>
    <row r="31" spans="1:5" x14ac:dyDescent="0.25">
      <c r="A31" s="1"/>
      <c r="B31" s="72" t="s">
        <v>139</v>
      </c>
      <c r="C31" s="10">
        <v>0</v>
      </c>
      <c r="D31" s="11" t="s">
        <v>3</v>
      </c>
      <c r="E31" s="1"/>
    </row>
    <row r="32" spans="1:5" x14ac:dyDescent="0.25">
      <c r="A32" s="1"/>
      <c r="B32" s="51" t="s">
        <v>239</v>
      </c>
      <c r="C32" s="33">
        <v>30267958.209097158</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TGZshD+Yd7RG1W5a7mFGT2nlherOAuAOBB9He3QIJKa4NvUJmapFcRbzG3cVlOZqaS+WQTln5TQtBi4q/mFRg==" saltValue="GPQ0MtgXQREgTWk0re25t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7226320</v>
      </c>
      <c r="H5" s="14" t="s">
        <v>3</v>
      </c>
      <c r="I5" s="1"/>
    </row>
    <row r="6" spans="1:9" x14ac:dyDescent="0.25">
      <c r="A6" s="1"/>
      <c r="B6" s="101" t="s">
        <v>37</v>
      </c>
      <c r="C6" s="102"/>
      <c r="D6" s="102"/>
      <c r="E6" s="102"/>
      <c r="F6" s="103"/>
      <c r="G6" s="22">
        <f>G5*'Fane 13. Nøgletal'!C33</f>
        <v>144526.39999999999</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7171732.3787199995</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143434.64757440001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7147075.9628019603</v>
      </c>
      <c r="H16" s="14" t="s">
        <v>3</v>
      </c>
      <c r="I16" s="1"/>
    </row>
    <row r="17" spans="1:9" x14ac:dyDescent="0.25">
      <c r="A17" s="1"/>
      <c r="B17" s="101" t="s">
        <v>100</v>
      </c>
      <c r="C17" s="102"/>
      <c r="D17" s="102"/>
      <c r="E17" s="102"/>
      <c r="F17" s="103"/>
      <c r="G17" s="47">
        <v>141396.11053986137</v>
      </c>
      <c r="H17" s="14" t="s">
        <v>3</v>
      </c>
      <c r="I17" s="1"/>
    </row>
    <row r="18" spans="1:9" x14ac:dyDescent="0.25">
      <c r="A18" s="1"/>
      <c r="B18" s="104" t="s">
        <v>229</v>
      </c>
      <c r="C18" s="105"/>
      <c r="D18" s="105"/>
      <c r="E18" s="105"/>
      <c r="F18" s="106"/>
      <c r="G18" s="47">
        <v>98128.519875339975</v>
      </c>
      <c r="H18" s="14" t="s">
        <v>3</v>
      </c>
      <c r="I18" s="1"/>
    </row>
    <row r="19" spans="1:9" x14ac:dyDescent="0.25">
      <c r="A19" s="1"/>
      <c r="B19" s="101" t="s">
        <v>41</v>
      </c>
      <c r="C19" s="102"/>
      <c r="D19" s="102"/>
      <c r="E19" s="102"/>
      <c r="F19" s="103"/>
      <c r="G19" s="22">
        <f>SUM(G16:G18)*'Fane 13. Nøgletal'!C33</f>
        <v>147732.01186434322</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7361205.4603776801</v>
      </c>
      <c r="H23" s="14" t="s">
        <v>3</v>
      </c>
      <c r="I23" s="1"/>
    </row>
    <row r="24" spans="1:9" x14ac:dyDescent="0.25">
      <c r="A24" s="1"/>
      <c r="B24" s="104" t="s">
        <v>230</v>
      </c>
      <c r="C24" s="105"/>
      <c r="D24" s="105"/>
      <c r="E24" s="105"/>
      <c r="F24" s="106"/>
      <c r="G24" s="47">
        <v>88130.816852465738</v>
      </c>
      <c r="H24" s="14" t="s">
        <v>3</v>
      </c>
      <c r="I24" s="1"/>
    </row>
    <row r="25" spans="1:9" x14ac:dyDescent="0.25">
      <c r="A25" s="1"/>
      <c r="B25" s="101" t="s">
        <v>43</v>
      </c>
      <c r="C25" s="102"/>
      <c r="D25" s="102"/>
      <c r="E25" s="102"/>
      <c r="F25" s="103"/>
      <c r="G25" s="22">
        <f>(G23+G24)*'Fane 13. Nøgletal'!C33</f>
        <v>148986.7255446029</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7389413.8162161065</v>
      </c>
      <c r="H29" s="14" t="s">
        <v>3</v>
      </c>
      <c r="I29" s="1"/>
    </row>
    <row r="30" spans="1:9" x14ac:dyDescent="0.25">
      <c r="A30" s="1"/>
      <c r="B30" s="101" t="s">
        <v>231</v>
      </c>
      <c r="C30" s="102"/>
      <c r="D30" s="102"/>
      <c r="E30" s="102"/>
      <c r="F30" s="103"/>
      <c r="G30" s="47">
        <v>37350.952511039999</v>
      </c>
      <c r="H30" s="14" t="s">
        <v>3</v>
      </c>
      <c r="I30" s="1"/>
    </row>
    <row r="31" spans="1:9" x14ac:dyDescent="0.25">
      <c r="A31" s="1"/>
      <c r="B31" s="101" t="s">
        <v>115</v>
      </c>
      <c r="C31" s="102"/>
      <c r="D31" s="102"/>
      <c r="E31" s="102"/>
      <c r="F31" s="103"/>
      <c r="G31" s="22">
        <f>(G29+G30)*'Fane 13. Nøgletal'!C33</f>
        <v>148535.29537454291</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7367023.8729275055</v>
      </c>
      <c r="H35" s="14" t="s">
        <v>3</v>
      </c>
      <c r="I35" s="1"/>
    </row>
    <row r="36" spans="1:9" x14ac:dyDescent="0.25">
      <c r="A36" s="1"/>
      <c r="B36" s="101" t="s">
        <v>232</v>
      </c>
      <c r="C36" s="102"/>
      <c r="D36" s="102"/>
      <c r="E36" s="102"/>
      <c r="F36" s="103"/>
      <c r="G36" s="47">
        <v>882402.15245023009</v>
      </c>
      <c r="H36" s="14" t="s">
        <v>3</v>
      </c>
      <c r="I36" s="1"/>
    </row>
    <row r="37" spans="1:9" x14ac:dyDescent="0.25">
      <c r="A37" s="1"/>
      <c r="B37" s="101" t="s">
        <v>123</v>
      </c>
      <c r="C37" s="102"/>
      <c r="D37" s="102"/>
      <c r="E37" s="102"/>
      <c r="F37" s="103"/>
      <c r="G37" s="22">
        <f>(G35+G36)*'Fane 13. Nøgletal'!C33</f>
        <v>164988.52050755473</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8372243.4800435603</v>
      </c>
      <c r="H41" s="14" t="s">
        <v>3</v>
      </c>
      <c r="I41" s="1"/>
    </row>
    <row r="42" spans="1:9" x14ac:dyDescent="0.25">
      <c r="A42" s="1"/>
      <c r="B42" s="101" t="s">
        <v>156</v>
      </c>
      <c r="C42" s="102"/>
      <c r="D42" s="102"/>
      <c r="E42" s="102"/>
      <c r="F42" s="103"/>
      <c r="G42" s="22">
        <v>510550.23166272003</v>
      </c>
      <c r="H42" s="14" t="s">
        <v>3</v>
      </c>
      <c r="I42" s="1"/>
    </row>
    <row r="43" spans="1:9" x14ac:dyDescent="0.25">
      <c r="A43" s="1"/>
      <c r="B43" s="101" t="s">
        <v>166</v>
      </c>
      <c r="C43" s="102"/>
      <c r="D43" s="102"/>
      <c r="E43" s="102"/>
      <c r="F43" s="103"/>
      <c r="G43" s="22">
        <f>(G41+G42)*'Fane 13. Nøgletal'!C33</f>
        <v>177655.87423412563</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9015040.7444861643</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203667.90089855998</v>
      </c>
      <c r="H48" s="14" t="s">
        <v>3</v>
      </c>
      <c r="I48" s="1"/>
    </row>
    <row r="49" spans="1:9" x14ac:dyDescent="0.25">
      <c r="A49" s="1"/>
      <c r="B49" s="101" t="s">
        <v>167</v>
      </c>
      <c r="C49" s="102"/>
      <c r="D49" s="102"/>
      <c r="E49" s="102"/>
      <c r="F49" s="103"/>
      <c r="G49" s="22">
        <f>G47*'Fane 13. Nøgletal'!C33+G48*'Fane 13. Nøgletal'!C33</f>
        <v>184374.17290769448</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9764308.6978531741</v>
      </c>
      <c r="H53" s="14" t="s">
        <v>3</v>
      </c>
      <c r="I53" s="1"/>
    </row>
    <row r="54" spans="1:9" x14ac:dyDescent="0.25">
      <c r="A54" s="1"/>
      <c r="B54" s="101" t="s">
        <v>135</v>
      </c>
      <c r="C54" s="102"/>
      <c r="D54" s="102"/>
      <c r="E54" s="102"/>
      <c r="F54" s="103"/>
      <c r="G54" s="22">
        <f>(G53)*'Fane 13. Nøgletal'!C33</f>
        <v>195286.1739570635</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10342199.543826917</v>
      </c>
      <c r="H58" s="14" t="s">
        <v>3</v>
      </c>
      <c r="I58" s="1"/>
    </row>
    <row r="59" spans="1:9" x14ac:dyDescent="0.25">
      <c r="A59" s="1"/>
      <c r="B59" s="101" t="s">
        <v>146</v>
      </c>
      <c r="C59" s="102"/>
      <c r="D59" s="102"/>
      <c r="E59" s="102"/>
      <c r="F59" s="103"/>
      <c r="G59" s="22">
        <f>(G58)*'Fane 13. Nøgletal'!C33</f>
        <v>206843.99087653836</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10954292.281628769</v>
      </c>
      <c r="H63" s="14" t="s">
        <v>3</v>
      </c>
      <c r="I63" s="1"/>
    </row>
    <row r="64" spans="1:9" x14ac:dyDescent="0.25">
      <c r="A64" s="1"/>
      <c r="B64" s="101" t="s">
        <v>222</v>
      </c>
      <c r="C64" s="102"/>
      <c r="D64" s="102"/>
      <c r="E64" s="102"/>
      <c r="F64" s="103"/>
      <c r="G64" s="22">
        <f>(G63)*'Fane 13. Nøgletal'!C33</f>
        <v>219085.84563257539</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v2HHm1mRgSH3QKxn0MASFarpcS46DTm4WIbTkRrmlMEFLZt7PSFQJ/CKFtn3Mk+Hjpb3KC+2/vk5y+VhFvPH1w==" saltValue="UFcLWsLn7JLPS8y5fPSnJg=="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8223612</v>
      </c>
      <c r="H5" s="14" t="s">
        <v>3</v>
      </c>
      <c r="I5" s="1"/>
    </row>
    <row r="6" spans="1:9" x14ac:dyDescent="0.25">
      <c r="A6" s="1"/>
      <c r="B6" s="101" t="s">
        <v>49</v>
      </c>
      <c r="C6" s="102"/>
      <c r="D6" s="102"/>
      <c r="E6" s="102"/>
      <c r="F6" s="103"/>
      <c r="G6" s="22">
        <f>G5*'Fane 13. Nøgletal'!C21</f>
        <v>74834.869200000001</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8252266.60036116</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75095.62606328656</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8315365.1637635073</v>
      </c>
      <c r="H16" s="14" t="s">
        <v>3</v>
      </c>
      <c r="I16" s="1"/>
    </row>
    <row r="17" spans="1:9" x14ac:dyDescent="0.25">
      <c r="A17" s="1"/>
      <c r="B17" s="101" t="s">
        <v>101</v>
      </c>
      <c r="C17" s="102"/>
      <c r="D17" s="102"/>
      <c r="E17" s="102"/>
      <c r="F17" s="103"/>
      <c r="G17" s="47">
        <v>71285.390610433227</v>
      </c>
      <c r="H17" s="14" t="s">
        <v>3</v>
      </c>
      <c r="I17" s="1"/>
    </row>
    <row r="18" spans="1:9" x14ac:dyDescent="0.25">
      <c r="A18" s="1"/>
      <c r="B18" s="104" t="s">
        <v>58</v>
      </c>
      <c r="C18" s="105"/>
      <c r="D18" s="105"/>
      <c r="E18" s="105"/>
      <c r="F18" s="106"/>
      <c r="G18" s="47">
        <v>0</v>
      </c>
      <c r="H18" s="14" t="s">
        <v>3</v>
      </c>
      <c r="I18" s="1"/>
    </row>
    <row r="19" spans="1:9" x14ac:dyDescent="0.25">
      <c r="A19" s="1"/>
      <c r="B19" s="101" t="s">
        <v>59</v>
      </c>
      <c r="C19" s="102"/>
      <c r="D19" s="102"/>
      <c r="E19" s="102"/>
      <c r="F19" s="103"/>
      <c r="G19" s="22">
        <f>(G16+G17+G18)*'Fane 13. Nøgletal'!C23</f>
        <v>72963.859823053281</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8454187.9996887967</v>
      </c>
      <c r="H23" s="14" t="s">
        <v>3</v>
      </c>
      <c r="I23" s="1"/>
    </row>
    <row r="24" spans="1:9" x14ac:dyDescent="0.25">
      <c r="A24" s="1"/>
      <c r="B24" s="104" t="s">
        <v>62</v>
      </c>
      <c r="C24" s="105"/>
      <c r="D24" s="105"/>
      <c r="E24" s="105"/>
      <c r="F24" s="106"/>
      <c r="G24" s="47">
        <v>22230.669364200003</v>
      </c>
      <c r="H24" s="14" t="s">
        <v>3</v>
      </c>
      <c r="I24" s="1"/>
    </row>
    <row r="25" spans="1:9" x14ac:dyDescent="0.25">
      <c r="A25" s="1"/>
      <c r="B25" s="101" t="s">
        <v>63</v>
      </c>
      <c r="C25" s="102"/>
      <c r="D25" s="102"/>
      <c r="E25" s="102"/>
      <c r="F25" s="103"/>
      <c r="G25" s="22">
        <f>G23*'Fane 13. Nøgletal'!C23+G24*'Fane 13. Nøgletal'!C24</f>
        <v>74182.786607235801</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8504743.1602116004</v>
      </c>
      <c r="H29" s="14" t="s">
        <v>3</v>
      </c>
      <c r="I29" s="1"/>
    </row>
    <row r="30" spans="1:9" x14ac:dyDescent="0.25">
      <c r="A30" s="1"/>
      <c r="B30" s="101" t="s">
        <v>113</v>
      </c>
      <c r="C30" s="102"/>
      <c r="D30" s="102"/>
      <c r="E30" s="102"/>
      <c r="F30" s="103"/>
      <c r="G30" s="47">
        <v>55305.146383199994</v>
      </c>
      <c r="H30" s="14" t="s">
        <v>3</v>
      </c>
      <c r="I30" s="1"/>
    </row>
    <row r="31" spans="1:9" x14ac:dyDescent="0.25">
      <c r="A31" s="1"/>
      <c r="B31" s="101" t="s">
        <v>120</v>
      </c>
      <c r="C31" s="102"/>
      <c r="D31" s="102"/>
      <c r="E31" s="102"/>
      <c r="F31" s="103"/>
      <c r="G31" s="22">
        <f>(G29+G30)*'Fane 13. Nøgletal'!C25</f>
        <v>235401.32843135702</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8426207.671297038</v>
      </c>
      <c r="H35" s="14" t="s">
        <v>3</v>
      </c>
      <c r="I35" s="1"/>
    </row>
    <row r="36" spans="1:9" x14ac:dyDescent="0.25">
      <c r="A36" s="1"/>
      <c r="B36" s="101" t="s">
        <v>129</v>
      </c>
      <c r="C36" s="102"/>
      <c r="D36" s="102"/>
      <c r="E36" s="102"/>
      <c r="F36" s="103"/>
      <c r="G36" s="22">
        <v>491398.77090414858</v>
      </c>
      <c r="H36" s="14" t="s">
        <v>3</v>
      </c>
      <c r="I36" s="1"/>
    </row>
    <row r="37" spans="1:9" x14ac:dyDescent="0.25">
      <c r="A37" s="1"/>
      <c r="B37" s="101" t="s">
        <v>125</v>
      </c>
      <c r="C37" s="102"/>
      <c r="D37" s="102"/>
      <c r="E37" s="102"/>
      <c r="F37" s="103"/>
      <c r="G37" s="22">
        <f>G35*'Fane 13. Nøgletal'!C25+G36*'Fane 13. Nøgletal'!C26</f>
        <v>238993.41277004994</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8987571.6532788854</v>
      </c>
      <c r="H41" s="14" t="s">
        <v>3</v>
      </c>
      <c r="I41" s="1"/>
    </row>
    <row r="42" spans="1:9" x14ac:dyDescent="0.25">
      <c r="A42" s="1"/>
      <c r="B42" s="101" t="s">
        <v>169</v>
      </c>
      <c r="C42" s="102"/>
      <c r="D42" s="102"/>
      <c r="E42" s="102"/>
      <c r="F42" s="103"/>
      <c r="G42" s="9">
        <v>604858.72143168002</v>
      </c>
      <c r="H42" s="14" t="s">
        <v>3</v>
      </c>
      <c r="I42" s="1"/>
    </row>
    <row r="43" spans="1:9" x14ac:dyDescent="0.25">
      <c r="A43" s="1"/>
      <c r="B43" s="101" t="s">
        <v>65</v>
      </c>
      <c r="C43" s="102"/>
      <c r="D43" s="102"/>
      <c r="E43" s="102"/>
      <c r="F43" s="103"/>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9933920.8960502632</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162171.2990912</v>
      </c>
      <c r="H48" s="14" t="s">
        <v>3</v>
      </c>
      <c r="I48" s="1"/>
    </row>
    <row r="49" spans="1:9" x14ac:dyDescent="0.25">
      <c r="A49" s="1"/>
      <c r="B49" s="101" t="s">
        <v>211</v>
      </c>
      <c r="C49" s="102"/>
      <c r="D49" s="102"/>
      <c r="E49" s="102"/>
      <c r="F49" s="103"/>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10911856.444508893</v>
      </c>
      <c r="H53" s="14" t="s">
        <v>3</v>
      </c>
      <c r="I53" s="1"/>
    </row>
    <row r="54" spans="1:9" x14ac:dyDescent="0.25">
      <c r="A54" s="1"/>
      <c r="B54" s="101" t="s">
        <v>132</v>
      </c>
      <c r="C54" s="102"/>
      <c r="D54" s="102"/>
      <c r="E54" s="102"/>
      <c r="F54" s="103"/>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11793534.445225213</v>
      </c>
      <c r="H58" s="14" t="s">
        <v>3</v>
      </c>
      <c r="I58" s="1"/>
    </row>
    <row r="59" spans="1:9" x14ac:dyDescent="0.25">
      <c r="A59" s="1"/>
      <c r="B59" s="101" t="s">
        <v>149</v>
      </c>
      <c r="C59" s="102"/>
      <c r="D59" s="102"/>
      <c r="E59" s="102"/>
      <c r="F59" s="103"/>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12746452.02839941</v>
      </c>
      <c r="H63" s="14" t="s">
        <v>3</v>
      </c>
      <c r="I63" s="1"/>
    </row>
    <row r="64" spans="1:9" x14ac:dyDescent="0.25">
      <c r="A64" s="1"/>
      <c r="B64" s="101" t="s">
        <v>225</v>
      </c>
      <c r="C64" s="102"/>
      <c r="D64" s="102"/>
      <c r="E64" s="102"/>
      <c r="F64" s="103"/>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qR40sWdbtLB7m/2cmeGxkBc9FrcNXYl1/O6/fYpyUC4yiWuTzsYHxu9T0fbRVywXh+RAvlv6SDeIdxudwfuiTg==" saltValue="oO3ZCmfMXHsCxrwGaSayCA=="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63">
        <v>1.9002909569984709E-3</v>
      </c>
      <c r="H9" s="1"/>
    </row>
    <row r="10" spans="1:8" x14ac:dyDescent="0.25">
      <c r="A10" s="1"/>
      <c r="B10" s="51"/>
      <c r="C10" s="52"/>
      <c r="D10" s="52"/>
      <c r="E10" s="52"/>
      <c r="F10" s="52"/>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A+JHlBXN+BDoEBWmBZjBiae8/1qB5n1UiQRRyRiV/xEcW+N8SYnIOtVoe1x2mrQ7OXi98iggS61SMBRPZQWEgg==" saltValue="Wj70Lsh+NtyL+K9p/pEaIA=="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2023-11-23T20:04:35Z</dcterms:modified>
</cp:coreProperties>
</file>