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Gladsaxe AS (V06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13" i="37" l="1"/>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4" i="37" s="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<sst xmlns="http://schemas.openxmlformats.org/spreadsheetml/2006/main" count="517" uniqueCount="257">
  <si>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</si>
  <si>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</si>
  <si>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</si>
  <si>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</si>
  <si>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</si>
  <si>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</si>
  <si>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</si>
  <si>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</si>
  <si>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</si>
  <si>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</si>
  <si>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</si>
  <si>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</si>
  <si>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</si>
  <si>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</si>
  <si>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</si>
  <si>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</si>
  <si>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</si>
  <si>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</si>
  <si>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</si>
  <si>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</si>
  <si>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</si>
  <si>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</si>
  <si>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</si>
  <si>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</si>
  <si>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</si>
  <si>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</si>
  <si>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</si>
  <si>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</si>
  <si>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</si>
  <si>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</si>
  <si>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</si>
  <si>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</si>
  <si>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</si>
  <si>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</si>
  <si>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</si>
  <si>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</si>
  <si>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</si>
  <si>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</si>
  <si>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</si>
  <si>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</si>
  <si>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</si>
  <si>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</si>
  <si>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</si>
  <si>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</si>
  <si>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</si>
  <si>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</si>
  <si>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</si>
  <si>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</si>
  <si>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</si>
  <si>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</si>
  <si>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</si>
  <si>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</si>
  <si>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</si>
  <si>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</si>
  <si>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</si>
  <si>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</si>
  <si>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</si>
  <si>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</si>
  <si>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</si>
  <si>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</si>
  <si>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</si>
  <si>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</si>
  <si>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</si>
  <si>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</si>
  <si>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</si>
  <si>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</si>
  <si>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</si>
  <si>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</si>
  <si>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</si>
  <si>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</si>
  <si>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</si>
  <si>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</si>
  <si>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</si>
  <si>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</si>
  <si>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</si>
  <si>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</si>
  <si>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</si>
  <si>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</si>
  <si>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</si>
  <si>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</si>
  <si>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</si>
  <si>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</si>
  <si>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</si>
  <si>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</si>
  <si>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</si>
  <si>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</si>
  <si>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</si>
  <si>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</si>
  <si>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</si>
  <si>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</si>
  <si>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</si>
  <si>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</si>
  <si>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</si>
  <si>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</si>
  <si>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</si>
  <si>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</si>
  <si>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</si>
  <si>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</si>
  <si>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</si>
  <si>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</si>
  <si>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</si>
  <si>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</si>
  <si>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</si>
  <si>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</si>
  <si>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</si>
  <si>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</si>
  <si>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</si>
  <si>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</si>
  <si>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</si>
  <si>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</si>
  <si>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</si>
  <si>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</si>
  <si>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</si>
  <si>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</si>
  <si>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</si>
  <si>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</si>
  <si>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</si>
  <si>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</si>
  <si>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</si>
  <si>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</si>
  <si>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</si>
  <si>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</si>
  <si>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</si>
  <si>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</si>
  <si>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</si>
  <si>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</si>
  <si>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</si>
  <si>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</si>
  <si>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</si>
  <si>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</si>
  <si>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</si>
  <si>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</si>
  <si>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</si>
  <si>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</si>
  <si>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</si>
  <si>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</si>
  <si>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</si>
  <si>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</si>
  <si>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</si>
  <si>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</si>
  <si>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</si>
  <si>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</si>
  <si>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</si>
  <si>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</si>
  <si>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</si>
  <si>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</si>
  <si>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</si>
  <si>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</si>
  <si>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</si>
  <si>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</si>
  <si>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</si>
  <si>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</si>
  <si>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</si>
  <si>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</si>
  <si>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</si>
  <si>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</si>
  <si>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</si>
  <si>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</si>
  <si>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</si>
  <si>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</si>
  <si>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</si>
  <si>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</si>
  <si>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</si>
  <si>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</si>
  <si>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</si>
  <si>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</si>
  <si>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</si>
  <si>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</si>
  <si>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</si>
  <si>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</si>
  <si>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</si>
  <si>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</si>
  <si>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</si>
  <si>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</si>
  <si>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</si>
  <si>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</si>
  <si>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</si>
  <si>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</si>
  <si>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</si>
  <si>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</si>
  <si>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</si>
  <si>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</si>
  <si>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</si>
  <si>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</si>
  <si>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</si>
  <si>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</si>
  <si>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</si>
  <si>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</si>
  <si>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</si>
  <si>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</si>
  <si>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</si>
  <si>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</si>
  <si>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</si>
  <si>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</si>
  <si>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</si>
  <si>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</si>
  <si>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</si>
  <si>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</si>
  <si>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</si>
  <si>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</si>
  <si>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</si>
  <si>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</si>
  <si>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</si>
  <si>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</si>
  <si>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</si>
  <si>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</si>
  <si>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</si>
  <si>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</si>
  <si>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</si>
  <si>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</si>
  <si>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</si>
  <si>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</si>
  <si>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</si>
  <si>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</si>
  <si>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</si>
  <si>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</si>
  <si>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</si>
  <si>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</si>
  <si>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</si>
  <si>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</si>
  <si>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</si>
  <si>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</si>
  <si>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</si>
  <si>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</si>
  <si>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</si>
  <si>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</si>
  <si>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</si>
  <si>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</si>
  <si>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</si>
  <si>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</si>
  <si>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</si>
  <si>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</si>
  <si>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</si>
  <si>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</si>
  <si>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</si>
  <si>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</si>
  <si>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</si>
  <si>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</si>
  <si>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</si>
  <si>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</si>
  <si>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</si>
  <si>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</si>
  <si>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</si>
  <si>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</si>
  <si>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</si>
  <si>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</si>
  <si>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</si>
  <si>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</si>
  <si>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</si>
  <si>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</si>
  <si>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</si>
  <si>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</si>
  <si>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</si>
  <si>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</si>
  <si>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Udvikling af nye rensemetoder og DMS handlingsplan</t>
  </si>
  <si>
    <t>Flytning af ledninger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</si>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</sst>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49" fontId="8" fillId="8" borderId="2" xfId="0" applyNumberFormat="1" applyFont="1" applyFill="1" applyBorder="1" applyAlignment="1" applyProtection="1">
      <alignmen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KIW8gJt2na1ZlCHvQ6mLiZpkBq421Jv9YgKlrH3YbKA/lPAXJ6CsaqgwYzC6oXYUM8jJkdI6d/mjqaRMgWTIuA==" saltValue="2Ps7v9VUbTagYrpVvih3T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2" t="s">
        <v>30</v>
      </c>
      <c r="C9" s="11" t="s">
        <v>212</v>
      </c>
      <c r="D9" s="11"/>
      <c r="E9" s="1"/>
      <c r="F9" s="1"/>
    </row>
    <row r="10" spans="1:6" x14ac:dyDescent="0.25">
      <c r="A10" s="1"/>
      <c r="B10" s="76" t="s">
        <v>231</v>
      </c>
      <c r="C10" s="9">
        <v>21946767</v>
      </c>
      <c r="D10" s="14" t="s">
        <v>3</v>
      </c>
      <c r="E10" s="1"/>
      <c r="F10" s="1"/>
    </row>
    <row r="11" spans="1:6" x14ac:dyDescent="0.25">
      <c r="A11" s="1"/>
      <c r="B11" s="76" t="s">
        <v>232</v>
      </c>
      <c r="C11" s="9">
        <v>147350</v>
      </c>
      <c r="D11" s="14" t="s">
        <v>3</v>
      </c>
      <c r="E11" s="1"/>
      <c r="F11" s="1"/>
    </row>
    <row r="12" spans="1:6" ht="26.25" x14ac:dyDescent="0.25">
      <c r="A12" s="1"/>
      <c r="B12" s="81" t="s">
        <v>233</v>
      </c>
      <c r="C12" s="9">
        <v>11482126</v>
      </c>
      <c r="D12" s="14" t="s">
        <v>3</v>
      </c>
      <c r="E12" s="1"/>
      <c r="F12" s="1"/>
    </row>
    <row r="13" spans="1:6" x14ac:dyDescent="0.25">
      <c r="A13" s="1"/>
      <c r="B13" s="76" t="s">
        <v>234</v>
      </c>
      <c r="C13" s="9">
        <v>170763</v>
      </c>
      <c r="D13" s="14" t="s">
        <v>3</v>
      </c>
      <c r="E13" s="1"/>
      <c r="F13" s="1"/>
    </row>
    <row r="14" spans="1:6" x14ac:dyDescent="0.25">
      <c r="A14" s="1"/>
      <c r="B14" s="76" t="s">
        <v>235</v>
      </c>
      <c r="C14" s="9">
        <v>360552</v>
      </c>
      <c r="D14" s="14" t="s">
        <v>3</v>
      </c>
      <c r="E14" s="1"/>
      <c r="F14" s="1"/>
    </row>
    <row r="15" spans="1:6" x14ac:dyDescent="0.25">
      <c r="A15" s="1"/>
      <c r="B15" s="64" t="s">
        <v>182</v>
      </c>
      <c r="C15" s="12">
        <f>SUM(C10:C14)</f>
        <v>34107558</v>
      </c>
      <c r="D15" s="13" t="s">
        <v>3</v>
      </c>
      <c r="E15" s="1"/>
      <c r="F15" s="1"/>
    </row>
    <row r="16" spans="1:6" x14ac:dyDescent="0.25">
      <c r="A16" s="1"/>
      <c r="B16" s="64" t="s">
        <v>183</v>
      </c>
      <c r="C16" s="12">
        <f>C15*(1+'Fane 13. Nøgletal'!C15)^2</f>
        <v>36579242.684306882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yvPB9nmUPwdgXz8xxQgLEAlpp22iNQwT8GV3GXUiZdKD2O0pUEc307k34RVvsBhF3ynoAwMIx7gaFpLrAAHhyw==" saltValue="d6ZBjKzMcMDBvcUxvKJiv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71"/>
      <c r="C5" s="71"/>
      <c r="D5" s="71"/>
      <c r="E5" s="71"/>
      <c r="F5" s="71"/>
      <c r="G5" s="1"/>
    </row>
    <row r="6" spans="1:7" ht="15" customHeight="1" x14ac:dyDescent="0.25">
      <c r="A6" s="1"/>
      <c r="B6" s="71"/>
      <c r="C6" s="71"/>
      <c r="D6" s="71"/>
      <c r="E6" s="71"/>
      <c r="F6" s="71"/>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-5636094</v>
      </c>
      <c r="F9" s="14" t="s">
        <v>3</v>
      </c>
      <c r="G9" s="1"/>
    </row>
    <row r="10" spans="1:7" x14ac:dyDescent="0.25">
      <c r="A10" s="1"/>
      <c r="B10" s="141" t="s">
        <v>236</v>
      </c>
      <c r="C10" s="142"/>
      <c r="D10" s="143"/>
      <c r="E10" s="9">
        <v>-866279.93325174903</v>
      </c>
      <c r="F10" s="50" t="s">
        <v>3</v>
      </c>
      <c r="G10" s="1"/>
    </row>
    <row r="11" spans="1:7" x14ac:dyDescent="0.25">
      <c r="A11" s="1"/>
      <c r="B11" s="126" t="s">
        <v>185</v>
      </c>
      <c r="C11" s="127"/>
      <c r="D11" s="128"/>
      <c r="E11" s="9">
        <v>-8160246.009773761</v>
      </c>
      <c r="F11" s="14" t="s">
        <v>3</v>
      </c>
      <c r="G11" s="1"/>
    </row>
    <row r="12" spans="1:7" x14ac:dyDescent="0.25">
      <c r="A12" s="1"/>
      <c r="B12" s="64"/>
      <c r="C12" s="65"/>
      <c r="D12" s="65"/>
      <c r="E12" s="65"/>
      <c r="F12" s="19"/>
      <c r="G12" s="1"/>
    </row>
    <row r="13" spans="1:7" ht="64.900000000000006" customHeight="1" x14ac:dyDescent="0.25">
      <c r="A13" s="1"/>
      <c r="B13" s="102" t="s">
        <v>252</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237</v>
      </c>
      <c r="C16" s="127"/>
      <c r="D16" s="128"/>
      <c r="E16" s="9">
        <f>-2040061.50244344*2</f>
        <v>-4080123.0048868801</v>
      </c>
      <c r="F16" s="14" t="s">
        <v>3</v>
      </c>
      <c r="G16" s="1"/>
    </row>
    <row r="17" spans="1:7" x14ac:dyDescent="0.25">
      <c r="A17" s="1"/>
      <c r="B17" s="126" t="s">
        <v>238</v>
      </c>
      <c r="C17" s="127"/>
      <c r="D17" s="128"/>
      <c r="E17" s="9">
        <f>-2040061.50244344*2</f>
        <v>-4080123.0048868801</v>
      </c>
      <c r="F17" s="14" t="s">
        <v>3</v>
      </c>
      <c r="G17" s="1"/>
    </row>
    <row r="18" spans="1:7" x14ac:dyDescent="0.25">
      <c r="A18" s="1"/>
      <c r="B18" s="64"/>
      <c r="C18" s="65"/>
      <c r="D18" s="65"/>
      <c r="E18" s="65"/>
      <c r="F18" s="19"/>
      <c r="G18" s="1"/>
    </row>
    <row r="19" spans="1:7" ht="31.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68" t="s">
        <v>186</v>
      </c>
      <c r="C21" s="69"/>
      <c r="D21" s="69"/>
      <c r="E21" s="69"/>
      <c r="F21" s="70"/>
      <c r="G21" s="1"/>
    </row>
    <row r="22" spans="1:7" x14ac:dyDescent="0.25">
      <c r="A22" s="1"/>
      <c r="B22" s="73" t="s">
        <v>239</v>
      </c>
      <c r="C22" s="74"/>
      <c r="D22" s="75"/>
      <c r="E22" s="9">
        <v>61444208.282682568</v>
      </c>
      <c r="F22" s="14" t="s">
        <v>3</v>
      </c>
      <c r="G22" s="1"/>
    </row>
    <row r="23" spans="1:7" x14ac:dyDescent="0.25">
      <c r="A23" s="1"/>
      <c r="B23" s="73" t="s">
        <v>187</v>
      </c>
      <c r="C23" s="74"/>
      <c r="D23" s="75"/>
      <c r="E23" s="9">
        <v>67241467</v>
      </c>
      <c r="F23" s="14" t="s">
        <v>3</v>
      </c>
      <c r="G23" s="1"/>
    </row>
    <row r="24" spans="1:7" x14ac:dyDescent="0.25">
      <c r="A24" s="1"/>
      <c r="B24" s="73" t="s">
        <v>31</v>
      </c>
      <c r="C24" s="74"/>
      <c r="D24" s="75"/>
      <c r="E24" s="9">
        <v>0</v>
      </c>
      <c r="F24" s="14" t="s">
        <v>3</v>
      </c>
      <c r="G24" s="1"/>
    </row>
    <row r="25" spans="1:7" x14ac:dyDescent="0.25">
      <c r="A25" s="1"/>
      <c r="B25" s="47" t="s">
        <v>253</v>
      </c>
      <c r="C25" s="48"/>
      <c r="D25" s="49"/>
      <c r="E25" s="53">
        <f>E22-(E23-E24)</f>
        <v>-5797258.7173174322</v>
      </c>
      <c r="F25" s="17" t="s">
        <v>3</v>
      </c>
      <c r="G25" s="1"/>
    </row>
    <row r="26" spans="1:7" x14ac:dyDescent="0.25">
      <c r="A26" s="1"/>
      <c r="B26" s="64"/>
      <c r="C26" s="65"/>
      <c r="D26" s="65"/>
      <c r="E26" s="65"/>
      <c r="F26" s="19"/>
      <c r="G26" s="1"/>
    </row>
    <row r="27" spans="1:7" x14ac:dyDescent="0.25">
      <c r="A27" s="1"/>
      <c r="B27" s="1"/>
      <c r="C27" s="1"/>
      <c r="D27" s="1"/>
      <c r="E27" s="1"/>
      <c r="F27" s="1"/>
      <c r="G27" s="1"/>
    </row>
    <row r="28" spans="1:7" ht="28.5" customHeight="1" x14ac:dyDescent="0.25">
      <c r="A28" s="1"/>
      <c r="B28" s="119" t="s">
        <v>240</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-13957504.727091193</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-6978752.3635455966</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CJimOIhkUs5zzZ8HuRKrBQf7MfmcykjGY174C1yS3knRxyL8ZxV14bBzfY834QwrUw+OcejcKDuIl6MVZUOnSg==" saltValue="FPx6IFgRC+NvGXf5OSrIf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243</v>
      </c>
      <c r="C10" s="148"/>
      <c r="D10" s="148"/>
      <c r="E10" s="148"/>
      <c r="F10" s="149"/>
      <c r="G10" s="52">
        <v>0</v>
      </c>
      <c r="H10" s="9" t="s">
        <v>3</v>
      </c>
      <c r="I10" s="1"/>
    </row>
    <row r="11" spans="1:9" x14ac:dyDescent="0.25">
      <c r="A11" s="1"/>
      <c r="B11" s="147" t="s">
        <v>244</v>
      </c>
      <c r="C11" s="148"/>
      <c r="D11" s="148"/>
      <c r="E11" s="148"/>
      <c r="F11" s="149"/>
      <c r="G11" s="52">
        <v>0</v>
      </c>
      <c r="H11" s="9" t="s">
        <v>3</v>
      </c>
      <c r="I11" s="1"/>
    </row>
    <row r="12" spans="1:9" x14ac:dyDescent="0.25">
      <c r="A12" s="1"/>
      <c r="B12" s="147" t="s">
        <v>245</v>
      </c>
      <c r="C12" s="148"/>
      <c r="D12" s="148"/>
      <c r="E12" s="148"/>
      <c r="F12" s="149"/>
      <c r="G12" s="9">
        <v>0</v>
      </c>
      <c r="H12" s="9" t="s">
        <v>3</v>
      </c>
      <c r="I12" s="1"/>
    </row>
    <row r="13" spans="1:9" x14ac:dyDescent="0.25">
      <c r="A13" s="1"/>
      <c r="B13" s="147" t="s">
        <v>246</v>
      </c>
      <c r="C13" s="148"/>
      <c r="D13" s="148"/>
      <c r="E13" s="148"/>
      <c r="F13" s="149"/>
      <c r="G13" s="9">
        <v>0</v>
      </c>
      <c r="H13" s="9" t="s">
        <v>3</v>
      </c>
      <c r="I13" s="1"/>
    </row>
    <row r="14" spans="1:9" x14ac:dyDescent="0.25">
      <c r="A14" s="1"/>
      <c r="B14" s="147" t="s">
        <v>247</v>
      </c>
      <c r="C14" s="148"/>
      <c r="D14" s="148"/>
      <c r="E14" s="148"/>
      <c r="F14" s="149"/>
      <c r="G14" s="9">
        <v>0</v>
      </c>
      <c r="H14" s="9" t="s">
        <v>3</v>
      </c>
      <c r="I14" s="1"/>
    </row>
    <row r="15" spans="1:9" x14ac:dyDescent="0.25">
      <c r="A15" s="1"/>
      <c r="B15" s="147" t="s">
        <v>248</v>
      </c>
      <c r="C15" s="148"/>
      <c r="D15" s="148"/>
      <c r="E15" s="148"/>
      <c r="F15" s="149"/>
      <c r="G15" s="9">
        <v>0</v>
      </c>
      <c r="H15" s="9" t="s">
        <v>3</v>
      </c>
      <c r="I15" s="1"/>
    </row>
    <row r="16" spans="1:9" x14ac:dyDescent="0.25">
      <c r="A16" s="1"/>
      <c r="B16" s="147" t="s">
        <v>249</v>
      </c>
      <c r="C16" s="148"/>
      <c r="D16" s="148"/>
      <c r="E16" s="148"/>
      <c r="F16" s="149"/>
      <c r="G16" s="9">
        <v>0</v>
      </c>
      <c r="H16" s="9" t="s">
        <v>3</v>
      </c>
      <c r="I16" s="1"/>
    </row>
    <row r="17" spans="1:9" x14ac:dyDescent="0.25">
      <c r="A17" s="1"/>
      <c r="B17" s="147" t="s">
        <v>250</v>
      </c>
      <c r="C17" s="148"/>
      <c r="D17" s="148"/>
      <c r="E17" s="148"/>
      <c r="F17" s="149"/>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TzN45PR223l8D0nqibCQyRAbTIcrMsZYLndufgosgCYbV6iOYFuobUsju703HKxHYzYf2yCHcanQtzR+Tt9Q/g==" saltValue="yfD/Wcw5grML+Ld7deCP4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78" t="s">
        <v>230</v>
      </c>
      <c r="C10" s="29">
        <v>0</v>
      </c>
      <c r="D10" s="9">
        <v>0</v>
      </c>
      <c r="E10" s="14" t="s">
        <v>3</v>
      </c>
      <c r="F10" s="35">
        <f>IFERROR(D10/C10,0)</f>
        <v>0</v>
      </c>
      <c r="G10" s="14" t="s">
        <v>3</v>
      </c>
      <c r="H10" s="9">
        <v>0</v>
      </c>
      <c r="I10" s="14" t="s">
        <v>3</v>
      </c>
      <c r="J10" s="9">
        <v>0</v>
      </c>
      <c r="K10" s="14" t="s">
        <v>3</v>
      </c>
      <c r="L10" s="1"/>
    </row>
    <row r="11" spans="1:12" x14ac:dyDescent="0.25">
      <c r="A11" s="1"/>
      <c r="B11" s="64" t="s">
        <v>193</v>
      </c>
      <c r="C11" s="65"/>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PePkilt81lpsyY/pq6IT4KTifsApYvJuCg/QQxYqNktUF3WSgU7LIjTytl+CRJLATEB0V2OuHhUAWaYJRuWyQ==" saltValue="YQabKyshPY9N1qm/iq0Vb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75</v>
      </c>
      <c r="C8" s="65"/>
      <c r="D8" s="65"/>
      <c r="E8" s="65"/>
      <c r="F8" s="19"/>
      <c r="G8" s="1"/>
    </row>
    <row r="9" spans="1:7" ht="17.25" customHeight="1" x14ac:dyDescent="0.25">
      <c r="A9" s="1"/>
      <c r="B9" s="62" t="s">
        <v>15</v>
      </c>
      <c r="C9" s="62" t="s">
        <v>10</v>
      </c>
      <c r="D9" s="63"/>
      <c r="E9" s="62" t="s">
        <v>29</v>
      </c>
      <c r="F9" s="67"/>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ht="26.25" x14ac:dyDescent="0.25">
      <c r="A11" s="1"/>
      <c r="B11" s="60" t="s">
        <v>254</v>
      </c>
      <c r="C11" s="21">
        <v>897157</v>
      </c>
      <c r="D11" s="14" t="s">
        <v>3</v>
      </c>
      <c r="E11" s="9">
        <v>0</v>
      </c>
      <c r="F11" s="14" t="s">
        <v>3</v>
      </c>
      <c r="G11" s="1"/>
    </row>
    <row r="12" spans="1:7" x14ac:dyDescent="0.25">
      <c r="A12" s="1"/>
      <c r="B12" s="26" t="s">
        <v>255</v>
      </c>
      <c r="C12" s="21">
        <v>0</v>
      </c>
      <c r="D12" s="14" t="s">
        <v>3</v>
      </c>
      <c r="E12" s="9">
        <v>780657</v>
      </c>
      <c r="F12" s="14" t="s">
        <v>3</v>
      </c>
      <c r="G12" s="1"/>
    </row>
    <row r="13" spans="1:7" x14ac:dyDescent="0.25">
      <c r="A13" s="1"/>
      <c r="B13" s="26" t="s">
        <v>251</v>
      </c>
      <c r="C13" s="21">
        <v>24255</v>
      </c>
      <c r="D13" s="14" t="s">
        <v>3</v>
      </c>
      <c r="E13" s="9">
        <f>3712+3322</f>
        <v>7034</v>
      </c>
      <c r="F13" s="14" t="s">
        <v>3</v>
      </c>
      <c r="G13" s="1"/>
    </row>
    <row r="14" spans="1:7" x14ac:dyDescent="0.25">
      <c r="A14" s="1"/>
      <c r="B14" s="64" t="s">
        <v>148</v>
      </c>
      <c r="C14" s="12">
        <f>SUM(C10:C13)</f>
        <v>921412</v>
      </c>
      <c r="D14" s="13" t="s">
        <v>3</v>
      </c>
      <c r="E14" s="12">
        <f>SUM(E10:E13)</f>
        <v>787691</v>
      </c>
      <c r="F14" s="13" t="s">
        <v>3</v>
      </c>
      <c r="G14" s="1"/>
    </row>
    <row r="15" spans="1:7" x14ac:dyDescent="0.25">
      <c r="A15" s="1"/>
      <c r="B15" s="64" t="s">
        <v>188</v>
      </c>
      <c r="C15" s="12">
        <f>C14*(1+'Fane 13. Nøgletal'!C15)</f>
        <v>954214.26720000012</v>
      </c>
      <c r="D15" s="13" t="s">
        <v>3</v>
      </c>
      <c r="E15" s="12">
        <f>E14*(1+'Fane 13. Nøgletal'!C15)</f>
        <v>815732.79960000003</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NRkI0lWncRbsQ4qI1NDFlbqrkGAH3dPFkC0nOrIRbHuvLo3harmCzfbR1AYsX2GR0DvyOO9gqt//+7eQPLtPPw==" saltValue="TNIFYLD1a3/omSxpJVU7W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2" t="s">
        <v>15</v>
      </c>
      <c r="C10" s="62" t="s">
        <v>10</v>
      </c>
      <c r="D10" s="63"/>
      <c r="E10" s="62" t="s">
        <v>29</v>
      </c>
      <c r="F10" s="67"/>
      <c r="G10" s="1"/>
    </row>
    <row r="11" spans="1:7" x14ac:dyDescent="0.25">
      <c r="A11" s="1"/>
      <c r="B11" s="22" t="s">
        <v>256</v>
      </c>
      <c r="C11" s="21">
        <v>0</v>
      </c>
      <c r="D11" s="14" t="s">
        <v>3</v>
      </c>
      <c r="E11" s="9">
        <v>0</v>
      </c>
      <c r="F11" s="14" t="s">
        <v>3</v>
      </c>
      <c r="G11" s="1"/>
    </row>
    <row r="12" spans="1:7" x14ac:dyDescent="0.25">
      <c r="A12" s="1"/>
      <c r="B12" s="64" t="s">
        <v>195</v>
      </c>
      <c r="C12" s="12">
        <f>SUM(C11:C11)</f>
        <v>0</v>
      </c>
      <c r="D12" s="13" t="s">
        <v>3</v>
      </c>
      <c r="E12" s="12">
        <f>SUM(E11:E11)</f>
        <v>0</v>
      </c>
      <c r="F12" s="13" t="s">
        <v>3</v>
      </c>
      <c r="G12" s="1"/>
    </row>
    <row r="13" spans="1:7" x14ac:dyDescent="0.25">
      <c r="A13" s="1"/>
      <c r="B13" s="64"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DAiZmAumS9ZKoU3S6e8/VlrE5JtSnjG1EMDcM6U9d3HPQF/EKp/6xoJvyTX6O31C1bQGhnyg5a9GaYA8kaLoAA==" saltValue="G7c6R6zUSWMDlPysYvAin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6" t="s">
        <v>113</v>
      </c>
      <c r="C9" s="111" t="s">
        <v>10</v>
      </c>
      <c r="D9" s="113"/>
      <c r="E9" s="111" t="s">
        <v>29</v>
      </c>
      <c r="F9" s="113"/>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rJ4NBO9VsNLJAer6d2piUbgR1rZAvNNr67Djs7IfXKGN1fqZ5Iw976/vbKXjcuKx4OKbw9FNq5f/DldZ2ATVA==" saltValue="MbGYaWkayuHteHIyQgp8H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x14ac:dyDescent="0.25">
      <c r="A11" s="1"/>
      <c r="B11" s="66" t="s">
        <v>16</v>
      </c>
      <c r="C11" s="66" t="s">
        <v>10</v>
      </c>
      <c r="D11" s="67"/>
      <c r="E11" s="66" t="s">
        <v>29</v>
      </c>
      <c r="F11" s="67"/>
      <c r="G11" s="1"/>
    </row>
    <row r="12" spans="1:7" x14ac:dyDescent="0.25">
      <c r="A12" s="1"/>
      <c r="B12" s="22" t="s">
        <v>242</v>
      </c>
      <c r="C12" s="9">
        <v>0</v>
      </c>
      <c r="D12" s="14" t="s">
        <v>3</v>
      </c>
      <c r="E12" s="9">
        <v>0</v>
      </c>
      <c r="F12" s="14" t="s">
        <v>3</v>
      </c>
      <c r="G12" s="1"/>
    </row>
    <row r="13" spans="1:7" x14ac:dyDescent="0.25">
      <c r="A13" s="1"/>
      <c r="B13" s="64" t="s">
        <v>196</v>
      </c>
      <c r="C13" s="12">
        <f>SUM(C12:C12)</f>
        <v>0</v>
      </c>
      <c r="D13" s="13" t="s">
        <v>3</v>
      </c>
      <c r="E13" s="12">
        <f>SUM(E12:E12)</f>
        <v>0</v>
      </c>
      <c r="F13" s="13" t="s">
        <v>3</v>
      </c>
      <c r="G13" s="1"/>
    </row>
    <row r="14" spans="1:7" x14ac:dyDescent="0.25">
      <c r="A14" s="1"/>
      <c r="B14" s="64"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TwBlAJki+5lg3SI9e/siyPCg00DzMo6JiaOmnYXeuG2pjEtIalPRkqKSwAiI0FRXH9i1HWx9BSXRJvKeB9YUw==" saltValue="QpBfbqmgiPgF0+GJG+ngz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2" t="s">
        <v>225</v>
      </c>
      <c r="C3" s="122"/>
      <c r="D3" s="1"/>
    </row>
    <row r="4" spans="1:4" ht="25.5" customHeight="1" x14ac:dyDescent="0.25">
      <c r="A4" s="1"/>
      <c r="B4" s="122"/>
      <c r="C4" s="122"/>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4" t="s">
        <v>13</v>
      </c>
      <c r="C8" s="41"/>
      <c r="D8" s="1"/>
    </row>
    <row r="9" spans="1:4" x14ac:dyDescent="0.25">
      <c r="A9" s="1"/>
      <c r="B9" s="76" t="s">
        <v>101</v>
      </c>
      <c r="C9" s="42">
        <v>1.2699999999999999E-2</v>
      </c>
      <c r="D9" s="1"/>
    </row>
    <row r="10" spans="1:4" x14ac:dyDescent="0.25">
      <c r="A10" s="1"/>
      <c r="B10" s="76" t="s">
        <v>21</v>
      </c>
      <c r="C10" s="42">
        <v>1.7500000000000002E-2</v>
      </c>
      <c r="D10" s="1"/>
    </row>
    <row r="11" spans="1:4" x14ac:dyDescent="0.25">
      <c r="A11" s="1"/>
      <c r="B11" s="76"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9"/>
      <c r="C16" s="121"/>
      <c r="D16" s="1"/>
    </row>
    <row r="17" spans="1:4" x14ac:dyDescent="0.25">
      <c r="A17" s="1"/>
      <c r="B17" s="1"/>
      <c r="C17" s="40"/>
      <c r="D17" s="1"/>
    </row>
    <row r="18" spans="1:4" x14ac:dyDescent="0.25">
      <c r="A18" s="1"/>
      <c r="B18" s="1"/>
      <c r="C18" s="40"/>
      <c r="D18" s="1"/>
    </row>
    <row r="19" spans="1:4" x14ac:dyDescent="0.25">
      <c r="A19" s="1"/>
      <c r="B19" s="64" t="s">
        <v>89</v>
      </c>
      <c r="C19" s="41"/>
      <c r="D19" s="1"/>
    </row>
    <row r="20" spans="1:4" x14ac:dyDescent="0.25">
      <c r="A20" s="1"/>
      <c r="B20" s="76" t="s">
        <v>103</v>
      </c>
      <c r="C20" s="44">
        <v>9.1000000000000004E-3</v>
      </c>
      <c r="D20" s="1"/>
    </row>
    <row r="21" spans="1:4" x14ac:dyDescent="0.25">
      <c r="A21" s="1"/>
      <c r="B21" s="76" t="s">
        <v>104</v>
      </c>
      <c r="C21" s="44">
        <v>1.77E-2</v>
      </c>
      <c r="D21" s="1"/>
    </row>
    <row r="22" spans="1:4" x14ac:dyDescent="0.25">
      <c r="A22" s="1"/>
      <c r="B22" s="76" t="s">
        <v>105</v>
      </c>
      <c r="C22" s="44">
        <v>8.6999999999999994E-3</v>
      </c>
      <c r="D22" s="1"/>
    </row>
    <row r="23" spans="1:4" x14ac:dyDescent="0.25">
      <c r="A23" s="1"/>
      <c r="B23" s="76" t="s">
        <v>106</v>
      </c>
      <c r="C23" s="44">
        <v>2.8399999999999998E-2</v>
      </c>
      <c r="D23" s="1"/>
    </row>
    <row r="24" spans="1:4" x14ac:dyDescent="0.25">
      <c r="A24" s="1"/>
      <c r="B24" s="76" t="s">
        <v>120</v>
      </c>
      <c r="C24" s="44">
        <v>2.75E-2</v>
      </c>
      <c r="D24" s="1"/>
    </row>
    <row r="25" spans="1:4" x14ac:dyDescent="0.25">
      <c r="A25" s="1"/>
      <c r="B25" s="76" t="s">
        <v>151</v>
      </c>
      <c r="C25" s="44">
        <v>1.4800000000000001E-2</v>
      </c>
      <c r="D25" s="1"/>
    </row>
    <row r="26" spans="1:4" x14ac:dyDescent="0.25">
      <c r="A26" s="1"/>
      <c r="B26" s="24" t="s">
        <v>191</v>
      </c>
      <c r="C26" s="44">
        <v>0</v>
      </c>
      <c r="D26" s="1"/>
    </row>
    <row r="27" spans="1:4" x14ac:dyDescent="0.25">
      <c r="A27" s="1"/>
      <c r="B27" s="64"/>
      <c r="C27" s="41"/>
      <c r="D27" s="1"/>
    </row>
    <row r="28" spans="1:4" x14ac:dyDescent="0.25">
      <c r="A28" s="1"/>
      <c r="B28" s="1"/>
      <c r="C28" s="40"/>
      <c r="D28" s="1"/>
    </row>
    <row r="29" spans="1:4" x14ac:dyDescent="0.25">
      <c r="A29" s="1"/>
      <c r="B29" s="1"/>
      <c r="C29" s="40"/>
      <c r="D29" s="1"/>
    </row>
    <row r="30" spans="1:4" x14ac:dyDescent="0.25">
      <c r="A30" s="1"/>
      <c r="B30" s="64" t="s">
        <v>90</v>
      </c>
      <c r="C30" s="41"/>
      <c r="D30" s="1"/>
    </row>
    <row r="31" spans="1:4" x14ac:dyDescent="0.25">
      <c r="A31" s="1"/>
      <c r="B31" s="76" t="s">
        <v>107</v>
      </c>
      <c r="C31" s="42">
        <v>0.02</v>
      </c>
      <c r="D31" s="1"/>
    </row>
    <row r="32" spans="1:4" x14ac:dyDescent="0.25">
      <c r="A32" s="1"/>
      <c r="B32" s="64"/>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FXJ3mcZua3pRGMCwJtseWduh7vUAAyh+WgY7bGEsIB6rYgeXVW8i5d8uY4x4mH2UQPMUp4hLJnf7o1dxnRATKQ==" saltValue="ckVaPM0H4OCK6ANDkIgkH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4" t="s">
        <v>12</v>
      </c>
      <c r="C7" s="65"/>
      <c r="D7" s="19"/>
      <c r="E7" s="1"/>
    </row>
    <row r="8" spans="1:5" x14ac:dyDescent="0.25">
      <c r="A8" s="1"/>
      <c r="B8" s="72" t="s">
        <v>116</v>
      </c>
      <c r="C8" s="7">
        <f>'Fane 3. Omkostninger i ØR2022'!E20</f>
        <v>28263085.411760997</v>
      </c>
      <c r="D8" s="8" t="s">
        <v>3</v>
      </c>
      <c r="E8" s="1"/>
    </row>
    <row r="9" spans="1:5" ht="17.25" customHeight="1" x14ac:dyDescent="0.25">
      <c r="A9" s="1"/>
      <c r="B9" s="23" t="s">
        <v>35</v>
      </c>
      <c r="C9" s="7">
        <f>'Fane 10.1. Varige tillæg'!C15</f>
        <v>954214.26720000012</v>
      </c>
      <c r="D9" s="8" t="s">
        <v>3</v>
      </c>
      <c r="E9" s="1"/>
    </row>
    <row r="10" spans="1:5" ht="17.25" customHeight="1" x14ac:dyDescent="0.25">
      <c r="A10" s="1"/>
      <c r="B10" s="23" t="s">
        <v>36</v>
      </c>
      <c r="C10" s="9">
        <f>'Fane 10.1. Varige tillæg'!E15</f>
        <v>815732.79960000003</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1069175.9562367715</v>
      </c>
      <c r="D15" s="8" t="s">
        <v>3</v>
      </c>
      <c r="E15" s="1"/>
    </row>
    <row r="16" spans="1:5" ht="17.25" customHeight="1" x14ac:dyDescent="0.25">
      <c r="A16" s="1"/>
      <c r="B16" s="23" t="s">
        <v>9</v>
      </c>
      <c r="C16" s="9">
        <f>-SUM(C8,C9:C15)*'Fane 5. Individuelt eff. krav'!G9</f>
        <v>-553939.05989555898</v>
      </c>
      <c r="D16" s="8" t="s">
        <v>3</v>
      </c>
      <c r="E16" s="1"/>
    </row>
    <row r="17" spans="1:5" ht="17.25" customHeight="1" x14ac:dyDescent="0.25">
      <c r="A17" s="1"/>
      <c r="B17" s="23" t="s">
        <v>23</v>
      </c>
      <c r="C17" s="9">
        <f>-'Fane 4.1. Gen. krav - drift'!G43</f>
        <v>-340842.43412075541</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30207426.940781455</v>
      </c>
      <c r="D19" s="11" t="s">
        <v>3</v>
      </c>
      <c r="E19" s="1"/>
    </row>
    <row r="20" spans="1:5" ht="15" customHeight="1" x14ac:dyDescent="0.25">
      <c r="A20" s="1"/>
      <c r="B20" s="64" t="s">
        <v>11</v>
      </c>
      <c r="C20" s="65"/>
      <c r="D20" s="19"/>
      <c r="E20" s="1"/>
    </row>
    <row r="21" spans="1:5" ht="15" customHeight="1" x14ac:dyDescent="0.25">
      <c r="A21" s="1"/>
      <c r="B21" s="66" t="s">
        <v>11</v>
      </c>
      <c r="C21" s="10">
        <f>'Fane 6. Ikke-påvirkelige omk.'!C16</f>
        <v>36579242.684306882</v>
      </c>
      <c r="D21" s="11" t="s">
        <v>3</v>
      </c>
      <c r="E21" s="1"/>
    </row>
    <row r="22" spans="1:5" ht="15" customHeight="1" x14ac:dyDescent="0.25">
      <c r="A22" s="1"/>
      <c r="B22" s="64" t="s">
        <v>80</v>
      </c>
      <c r="C22" s="65"/>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5"/>
      <c r="D28" s="19"/>
      <c r="E28" s="1"/>
    </row>
    <row r="29" spans="1:5" x14ac:dyDescent="0.25">
      <c r="A29" s="1"/>
      <c r="B29" s="77" t="s">
        <v>129</v>
      </c>
      <c r="C29" s="10">
        <f>'Fane 7. Kontrol af ØR2021'!E31</f>
        <v>-6978752.3635455966</v>
      </c>
      <c r="D29" s="11" t="s">
        <v>3</v>
      </c>
      <c r="E29" s="1"/>
    </row>
    <row r="30" spans="1:5" x14ac:dyDescent="0.25">
      <c r="A30" s="1"/>
      <c r="B30" s="25" t="s">
        <v>153</v>
      </c>
      <c r="C30" s="65"/>
      <c r="D30" s="19"/>
      <c r="E30" s="1"/>
    </row>
    <row r="31" spans="1:5" x14ac:dyDescent="0.25">
      <c r="A31" s="1"/>
      <c r="B31" s="77" t="s">
        <v>154</v>
      </c>
      <c r="C31" s="10">
        <f>'Fane 8. Skattesagen'!G12</f>
        <v>0</v>
      </c>
      <c r="D31" s="11" t="s">
        <v>3</v>
      </c>
      <c r="E31" s="1"/>
    </row>
    <row r="32" spans="1:5" x14ac:dyDescent="0.25">
      <c r="A32" s="1"/>
      <c r="B32" s="64" t="s">
        <v>84</v>
      </c>
      <c r="C32" s="34">
        <f>SUM(C19,C21,C27,C29,C31)</f>
        <v>59807917.261542737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qRz9Ky086i8G5h+0dAdGMv1qyuljP1tnw/6QSJA1KWMQ41/am72fvItaqKEuK5L1Hl+0RNQ38z9/crguPhNtA==" saltValue="esUe2ketGYcJveI4vWI55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4" t="s">
        <v>12</v>
      </c>
      <c r="C7" s="65"/>
      <c r="D7" s="19"/>
      <c r="E7" s="1"/>
    </row>
    <row r="8" spans="1:5" ht="15" customHeight="1" x14ac:dyDescent="0.25">
      <c r="A8" s="1"/>
      <c r="B8" s="72" t="s">
        <v>117</v>
      </c>
      <c r="C8" s="7">
        <f>'Fane 2.1. Økonomisk ramme 2023'!C19</f>
        <v>30207426.940781455</v>
      </c>
      <c r="D8" s="8" t="s">
        <v>3</v>
      </c>
      <c r="E8" s="1"/>
    </row>
    <row r="9" spans="1:5" ht="15" customHeight="1" x14ac:dyDescent="0.25">
      <c r="A9" s="1"/>
      <c r="B9" s="61" t="s">
        <v>17</v>
      </c>
      <c r="C9" s="9">
        <f>SUM(C8:C8)*'Fane 13. Nøgletal'!C15</f>
        <v>1075384.3990918198</v>
      </c>
      <c r="D9" s="8" t="s">
        <v>3</v>
      </c>
      <c r="E9" s="1"/>
    </row>
    <row r="10" spans="1:5" ht="15" customHeight="1" x14ac:dyDescent="0.25">
      <c r="A10" s="1"/>
      <c r="B10" s="61" t="s">
        <v>9</v>
      </c>
      <c r="C10" s="9">
        <f>-SUM(C8:C9)*'Fane 5. Individuelt eff. krav'!G9</f>
        <v>-557155.64831440593</v>
      </c>
      <c r="D10" s="8" t="s">
        <v>3</v>
      </c>
      <c r="E10" s="1"/>
    </row>
    <row r="11" spans="1:5" ht="15" customHeight="1" x14ac:dyDescent="0.25">
      <c r="A11" s="1"/>
      <c r="B11" s="61" t="s">
        <v>23</v>
      </c>
      <c r="C11" s="9">
        <f>-'Fane 4.1. Gen. krav - drift'!G48</f>
        <v>-345916.89627994521</v>
      </c>
      <c r="D11" s="8" t="s">
        <v>3</v>
      </c>
      <c r="E11" s="1"/>
    </row>
    <row r="12" spans="1:5" ht="15" customHeight="1" x14ac:dyDescent="0.25">
      <c r="A12" s="1"/>
      <c r="B12" s="61" t="s">
        <v>24</v>
      </c>
      <c r="C12" s="9">
        <f>-'Fane 4.2. Gen. krav - anlæg'!G48</f>
        <v>0</v>
      </c>
      <c r="D12" s="8" t="s">
        <v>3</v>
      </c>
      <c r="E12" s="1"/>
    </row>
    <row r="13" spans="1:5" ht="15" customHeight="1" x14ac:dyDescent="0.25">
      <c r="A13" s="1"/>
      <c r="B13" s="32" t="s">
        <v>19</v>
      </c>
      <c r="C13" s="10">
        <f>SUM(C8:C12)</f>
        <v>30379738.795278925</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f>
        <v>37881463.723868214</v>
      </c>
      <c r="D15" s="11" t="s">
        <v>3</v>
      </c>
      <c r="E15" s="1"/>
    </row>
    <row r="16" spans="1:5" x14ac:dyDescent="0.25">
      <c r="A16" s="1"/>
      <c r="B16" s="25" t="s">
        <v>128</v>
      </c>
      <c r="C16" s="65"/>
      <c r="D16" s="19"/>
      <c r="E16" s="1"/>
    </row>
    <row r="17" spans="1:5" ht="15" customHeight="1" x14ac:dyDescent="0.25">
      <c r="A17" s="1"/>
      <c r="B17" s="77" t="s">
        <v>129</v>
      </c>
      <c r="C17" s="10">
        <f>'Fane 7. Kontrol af ØR2021'!E31</f>
        <v>-6978752.3635455966</v>
      </c>
      <c r="D17" s="11" t="s">
        <v>3</v>
      </c>
      <c r="E17" s="1"/>
    </row>
    <row r="18" spans="1:5" x14ac:dyDescent="0.25">
      <c r="A18" s="1"/>
      <c r="B18" s="25" t="s">
        <v>153</v>
      </c>
      <c r="C18" s="65"/>
      <c r="D18" s="19"/>
      <c r="E18" s="1"/>
    </row>
    <row r="19" spans="1:5" x14ac:dyDescent="0.25">
      <c r="A19" s="1"/>
      <c r="B19" s="77" t="s">
        <v>154</v>
      </c>
      <c r="C19" s="10">
        <f>'Fane 8. Skattesagen'!G13</f>
        <v>0</v>
      </c>
      <c r="D19" s="11" t="s">
        <v>3</v>
      </c>
      <c r="E19" s="1"/>
    </row>
    <row r="20" spans="1:5" x14ac:dyDescent="0.25">
      <c r="A20" s="1"/>
      <c r="B20" s="64" t="s">
        <v>138</v>
      </c>
      <c r="C20" s="12">
        <f>SUM(C13,C15,C17,C19)</f>
        <v>61282450.155601546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1pEhR0UBOVvPPLcQLa3lj3/bqlfBx6brm5lquKvhUr8DAAmnisYQZ54XYQwNbzUBEBLipLL6RI3dOt2fFALbRw==" saltValue="yPZgQr9/4zBSzjz2VN3Bh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4" t="s">
        <v>12</v>
      </c>
      <c r="C7" s="65"/>
      <c r="D7" s="19"/>
      <c r="E7" s="1"/>
    </row>
    <row r="8" spans="1:5" ht="15" customHeight="1" x14ac:dyDescent="0.25">
      <c r="A8" s="1"/>
      <c r="B8" s="72" t="s">
        <v>139</v>
      </c>
      <c r="C8" s="7">
        <f>'Fane 2.2. Økonomisk ramme 2024'!C13</f>
        <v>30379738.795278925</v>
      </c>
      <c r="D8" s="8" t="s">
        <v>3</v>
      </c>
      <c r="E8" s="1"/>
    </row>
    <row r="9" spans="1:5" ht="15" customHeight="1" x14ac:dyDescent="0.25">
      <c r="A9" s="1"/>
      <c r="B9" s="61" t="s">
        <v>17</v>
      </c>
      <c r="C9" s="9">
        <f>SUM(C8:C8)*'Fane 13. Nøgletal'!C15</f>
        <v>1081518.7011119297</v>
      </c>
      <c r="D9" s="8" t="s">
        <v>3</v>
      </c>
      <c r="E9" s="1"/>
    </row>
    <row r="10" spans="1:5" ht="15" customHeight="1" x14ac:dyDescent="0.25">
      <c r="A10" s="1"/>
      <c r="B10" s="61" t="s">
        <v>9</v>
      </c>
      <c r="C10" s="9">
        <f>-SUM(C8:C9)*'Fane 5. Individuelt eff. krav'!G9</f>
        <v>-560333.82443622535</v>
      </c>
      <c r="D10" s="8" t="s">
        <v>3</v>
      </c>
      <c r="E10" s="1"/>
    </row>
    <row r="11" spans="1:5" ht="15" customHeight="1" x14ac:dyDescent="0.25">
      <c r="A11" s="1"/>
      <c r="B11" s="61" t="s">
        <v>23</v>
      </c>
      <c r="C11" s="9">
        <f>-'Fane 4.1. Gen. krav - drift'!G53</f>
        <v>-351066.90703176102</v>
      </c>
      <c r="D11" s="8" t="s">
        <v>3</v>
      </c>
      <c r="E11" s="1"/>
    </row>
    <row r="12" spans="1:5" ht="15" customHeight="1" x14ac:dyDescent="0.25">
      <c r="A12" s="1"/>
      <c r="B12" s="61" t="s">
        <v>24</v>
      </c>
      <c r="C12" s="27">
        <f>-'Fane 4.2. Gen. krav - anlæg'!G53</f>
        <v>0</v>
      </c>
      <c r="D12" s="8" t="s">
        <v>3</v>
      </c>
      <c r="E12" s="1"/>
    </row>
    <row r="13" spans="1:5" x14ac:dyDescent="0.25">
      <c r="A13" s="1"/>
      <c r="B13" s="32" t="s">
        <v>19</v>
      </c>
      <c r="C13" s="10">
        <f>SUM(C8:C12)</f>
        <v>30549856.764922872</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Nøgletal'!C15)^2</f>
        <v>39230043.832437918</v>
      </c>
      <c r="D15" s="11" t="s">
        <v>3</v>
      </c>
      <c r="E15" s="1"/>
    </row>
    <row r="16" spans="1:5" x14ac:dyDescent="0.25">
      <c r="A16" s="1"/>
      <c r="B16" s="64" t="s">
        <v>128</v>
      </c>
      <c r="C16" s="65"/>
      <c r="D16" s="19"/>
      <c r="E16" s="1"/>
    </row>
    <row r="17" spans="1:5" x14ac:dyDescent="0.25">
      <c r="A17" s="1"/>
      <c r="B17" s="66" t="s">
        <v>129</v>
      </c>
      <c r="C17" s="10">
        <v>0</v>
      </c>
      <c r="D17" s="11" t="s">
        <v>3</v>
      </c>
      <c r="E17" s="1"/>
    </row>
    <row r="18" spans="1:5" ht="15" customHeight="1" x14ac:dyDescent="0.25">
      <c r="A18" s="1"/>
      <c r="B18" s="25" t="s">
        <v>153</v>
      </c>
      <c r="C18" s="65"/>
      <c r="D18" s="19"/>
      <c r="E18" s="1"/>
    </row>
    <row r="19" spans="1:5" ht="15" customHeight="1" x14ac:dyDescent="0.25">
      <c r="A19" s="1"/>
      <c r="B19" s="77" t="s">
        <v>154</v>
      </c>
      <c r="C19" s="10">
        <f>'Fane 8. Skattesagen'!G14</f>
        <v>0</v>
      </c>
      <c r="D19" s="11" t="s">
        <v>3</v>
      </c>
      <c r="E19" s="1"/>
    </row>
    <row r="20" spans="1:5" x14ac:dyDescent="0.25">
      <c r="A20" s="1"/>
      <c r="B20" s="64" t="s">
        <v>140</v>
      </c>
      <c r="C20" s="12">
        <f>SUM(C13,C15,C17,C19)</f>
        <v>69779900.59736079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2ZGDxjRhMteveHICsd7Tp14GRLxtEYBL06em+0bj7Bagz1T6a94sLU0K+bv66/a4FJhjmFc8DFoYpkKyLKa5Pw==" saltValue="5gZn+j/WT7jUtulu2ob5J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4" t="s">
        <v>12</v>
      </c>
      <c r="C7" s="65"/>
      <c r="D7" s="19"/>
      <c r="E7" s="1"/>
    </row>
    <row r="8" spans="1:5" ht="15" customHeight="1" x14ac:dyDescent="0.25">
      <c r="A8" s="1"/>
      <c r="B8" s="72" t="s">
        <v>169</v>
      </c>
      <c r="C8" s="7">
        <f>'Fane 2.3. Økonomisk ramme 2025'!C13</f>
        <v>30549856.764922872</v>
      </c>
      <c r="D8" s="8" t="s">
        <v>3</v>
      </c>
      <c r="E8" s="1"/>
    </row>
    <row r="9" spans="1:5" ht="15" customHeight="1" x14ac:dyDescent="0.25">
      <c r="A9" s="1"/>
      <c r="B9" s="61" t="s">
        <v>17</v>
      </c>
      <c r="C9" s="9">
        <f>SUM(C8:C8)*'Fane 13. Nøgletal'!C15</f>
        <v>1087574.9008312542</v>
      </c>
      <c r="D9" s="8" t="s">
        <v>3</v>
      </c>
      <c r="E9" s="1"/>
    </row>
    <row r="10" spans="1:5" ht="15" customHeight="1" x14ac:dyDescent="0.25">
      <c r="A10" s="1"/>
      <c r="B10" s="61" t="s">
        <v>9</v>
      </c>
      <c r="C10" s="9">
        <f>-SUM(C8:C9)*'Fane 5. Individuelt eff. krav'!G9</f>
        <v>-563471.53582927817</v>
      </c>
      <c r="D10" s="8" t="s">
        <v>3</v>
      </c>
      <c r="E10" s="1"/>
    </row>
    <row r="11" spans="1:5" ht="15" customHeight="1" x14ac:dyDescent="0.25">
      <c r="A11" s="1"/>
      <c r="B11" s="61" t="s">
        <v>23</v>
      </c>
      <c r="C11" s="9">
        <f>-'Fane 4.1. Gen. krav - drift'!G58</f>
        <v>-356293.59114364994</v>
      </c>
      <c r="D11" s="8" t="s">
        <v>3</v>
      </c>
      <c r="E11" s="1"/>
    </row>
    <row r="12" spans="1:5" ht="15" customHeight="1" x14ac:dyDescent="0.25">
      <c r="A12" s="1"/>
      <c r="B12" s="61" t="s">
        <v>24</v>
      </c>
      <c r="C12" s="9">
        <f>-'Fane 4.2. Gen. krav - anlæg'!G58</f>
        <v>0</v>
      </c>
      <c r="D12" s="8" t="s">
        <v>3</v>
      </c>
      <c r="E12" s="1"/>
    </row>
    <row r="13" spans="1:5" x14ac:dyDescent="0.25">
      <c r="A13" s="1"/>
      <c r="B13" s="32" t="s">
        <v>19</v>
      </c>
      <c r="C13" s="10">
        <f>SUM(C8:C12)</f>
        <v>30717666.538781196</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Nøgletal'!C15)^3</f>
        <v>40626633.392872714</v>
      </c>
      <c r="D15" s="11" t="s">
        <v>3</v>
      </c>
      <c r="E15" s="1"/>
    </row>
    <row r="16" spans="1:5" x14ac:dyDescent="0.25">
      <c r="A16" s="1"/>
      <c r="B16" s="64" t="s">
        <v>128</v>
      </c>
      <c r="C16" s="65"/>
      <c r="D16" s="19"/>
      <c r="E16" s="1"/>
    </row>
    <row r="17" spans="1:5" x14ac:dyDescent="0.25">
      <c r="A17" s="1"/>
      <c r="B17" s="66" t="s">
        <v>129</v>
      </c>
      <c r="C17" s="10">
        <v>0</v>
      </c>
      <c r="D17" s="11" t="s">
        <v>3</v>
      </c>
      <c r="E17" s="1"/>
    </row>
    <row r="18" spans="1:5" x14ac:dyDescent="0.25">
      <c r="A18" s="1"/>
      <c r="B18" s="25" t="s">
        <v>153</v>
      </c>
      <c r="C18" s="65"/>
      <c r="D18" s="19"/>
      <c r="E18" s="1"/>
    </row>
    <row r="19" spans="1:5" x14ac:dyDescent="0.25">
      <c r="A19" s="1"/>
      <c r="B19" s="77" t="s">
        <v>154</v>
      </c>
      <c r="C19" s="10">
        <f>'Fane 8. Skattesagen'!G15</f>
        <v>0</v>
      </c>
      <c r="D19" s="11" t="s">
        <v>3</v>
      </c>
      <c r="E19" s="1"/>
    </row>
    <row r="20" spans="1:5" x14ac:dyDescent="0.25">
      <c r="A20" s="1"/>
      <c r="B20" s="64" t="s">
        <v>170</v>
      </c>
      <c r="C20" s="12">
        <f>SUM(C13,C15,C17,C19)</f>
        <v>71344299.931653917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qsl4Ij0yqo/IjMzD/t1jh3OsYNvwvzibiVw2UDfyODrqs2YdFeEWKzkwKU9bXfFe2AAL3in8gUUA1ZnJCeZLQ==" saltValue="i7Hd3MKb1ZIhlf872QiMC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172</v>
      </c>
      <c r="C8" s="65"/>
      <c r="D8" s="65"/>
      <c r="E8" s="65"/>
      <c r="F8" s="19"/>
      <c r="G8" s="1"/>
    </row>
    <row r="9" spans="1:7" x14ac:dyDescent="0.25">
      <c r="A9" s="1"/>
      <c r="B9" s="123" t="s">
        <v>22</v>
      </c>
      <c r="C9" s="124"/>
      <c r="D9" s="125"/>
      <c r="E9" s="7">
        <v>27927713.118207034</v>
      </c>
      <c r="F9" s="8" t="s">
        <v>3</v>
      </c>
      <c r="G9" s="1"/>
    </row>
    <row r="10" spans="1:7" ht="15" customHeight="1" x14ac:dyDescent="0.25">
      <c r="A10" s="1"/>
      <c r="B10" s="105" t="s">
        <v>35</v>
      </c>
      <c r="C10" s="106"/>
      <c r="D10" s="107"/>
      <c r="E10" s="9">
        <v>728639.60190000001</v>
      </c>
      <c r="F10" s="8" t="s">
        <v>3</v>
      </c>
      <c r="G10" s="1"/>
    </row>
    <row r="11" spans="1:7" ht="15" customHeight="1" x14ac:dyDescent="0.25">
      <c r="A11" s="1"/>
      <c r="B11" s="105" t="s">
        <v>36</v>
      </c>
      <c r="C11" s="106"/>
      <c r="D11" s="107"/>
      <c r="E11" s="9">
        <v>229870.07620000001</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343881.18197985587</v>
      </c>
      <c r="F16" s="8" t="s">
        <v>3</v>
      </c>
      <c r="G16" s="30"/>
    </row>
    <row r="17" spans="1:7" x14ac:dyDescent="0.25">
      <c r="A17" s="1"/>
      <c r="B17" s="105" t="s">
        <v>9</v>
      </c>
      <c r="C17" s="106"/>
      <c r="D17" s="107"/>
      <c r="E17" s="9">
        <v>-217029.6361101389</v>
      </c>
      <c r="F17" s="8" t="s">
        <v>3</v>
      </c>
      <c r="G17" s="1"/>
    </row>
    <row r="18" spans="1:7" x14ac:dyDescent="0.25">
      <c r="A18" s="1"/>
      <c r="B18" s="105" t="s">
        <v>23</v>
      </c>
      <c r="C18" s="106"/>
      <c r="D18" s="107"/>
      <c r="E18" s="9">
        <v>-316368.65173152986</v>
      </c>
      <c r="F18" s="8" t="s">
        <v>3</v>
      </c>
      <c r="G18" s="1"/>
    </row>
    <row r="19" spans="1:7" x14ac:dyDescent="0.25">
      <c r="A19" s="1"/>
      <c r="B19" s="105" t="s">
        <v>24</v>
      </c>
      <c r="C19" s="106"/>
      <c r="D19" s="107"/>
      <c r="E19" s="9">
        <v>-433620.27868422802</v>
      </c>
      <c r="F19" s="8" t="s">
        <v>3</v>
      </c>
      <c r="G19" s="1"/>
    </row>
    <row r="20" spans="1:7" x14ac:dyDescent="0.25">
      <c r="A20" s="1"/>
      <c r="B20" s="108" t="s">
        <v>19</v>
      </c>
      <c r="C20" s="109"/>
      <c r="D20" s="110"/>
      <c r="E20" s="31">
        <f>SUM(E9:E19)</f>
        <v>28263085.411760997</v>
      </c>
      <c r="F20" s="33" t="s">
        <v>3</v>
      </c>
      <c r="G20" s="1"/>
    </row>
    <row r="21" spans="1:7" x14ac:dyDescent="0.25">
      <c r="A21" s="1"/>
      <c r="B21" s="64" t="s">
        <v>11</v>
      </c>
      <c r="C21" s="65"/>
      <c r="D21" s="65"/>
      <c r="E21" s="65"/>
      <c r="F21" s="19"/>
      <c r="G21" s="1"/>
    </row>
    <row r="22" spans="1:7" x14ac:dyDescent="0.25">
      <c r="A22" s="1"/>
      <c r="B22" s="116" t="s">
        <v>11</v>
      </c>
      <c r="C22" s="117"/>
      <c r="D22" s="118"/>
      <c r="E22" s="10">
        <v>35727631.259271994</v>
      </c>
      <c r="F22" s="11" t="s">
        <v>3</v>
      </c>
      <c r="G22" s="1"/>
    </row>
    <row r="23" spans="1:7" ht="15" customHeight="1" x14ac:dyDescent="0.25">
      <c r="A23" s="1"/>
      <c r="B23" s="114" t="s">
        <v>80</v>
      </c>
      <c r="C23" s="115"/>
      <c r="D23" s="115"/>
      <c r="E23" s="65"/>
      <c r="F23" s="65"/>
      <c r="G23" s="1"/>
    </row>
    <row r="24" spans="1:7" ht="14.25" customHeight="1" x14ac:dyDescent="0.25">
      <c r="A24" s="1"/>
      <c r="B24" s="102" t="s">
        <v>76</v>
      </c>
      <c r="C24" s="103"/>
      <c r="D24" s="104"/>
      <c r="E24" s="9">
        <v>0</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0</v>
      </c>
      <c r="F26" s="11" t="s">
        <v>3</v>
      </c>
      <c r="G26" s="1"/>
    </row>
    <row r="27" spans="1:7" x14ac:dyDescent="0.25">
      <c r="A27" s="1"/>
      <c r="B27" s="64" t="s">
        <v>128</v>
      </c>
      <c r="C27" s="65"/>
      <c r="D27" s="65"/>
      <c r="E27" s="65"/>
      <c r="F27" s="19"/>
      <c r="G27" s="1"/>
    </row>
    <row r="28" spans="1:7" ht="15" customHeight="1" x14ac:dyDescent="0.25">
      <c r="A28" s="1"/>
      <c r="B28" s="111" t="s">
        <v>129</v>
      </c>
      <c r="C28" s="112"/>
      <c r="D28" s="113"/>
      <c r="E28" s="10">
        <v>-866279.93325174903</v>
      </c>
      <c r="F28" s="11" t="s">
        <v>3</v>
      </c>
      <c r="G28" s="1"/>
    </row>
    <row r="29" spans="1:7" x14ac:dyDescent="0.25">
      <c r="A29" s="1"/>
      <c r="B29" s="64" t="s">
        <v>159</v>
      </c>
      <c r="C29" s="65"/>
      <c r="D29" s="65"/>
      <c r="E29" s="65"/>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77" t="s">
        <v>154</v>
      </c>
      <c r="C32" s="10"/>
      <c r="D32" s="11"/>
      <c r="E32" s="10">
        <f>'Fane 8. Skattesagen'!G11</f>
        <v>0</v>
      </c>
      <c r="F32" s="11" t="s">
        <v>3</v>
      </c>
      <c r="G32" s="1"/>
    </row>
    <row r="33" spans="1:7" x14ac:dyDescent="0.25">
      <c r="A33" s="1"/>
      <c r="B33" s="79" t="s">
        <v>27</v>
      </c>
      <c r="C33" s="80"/>
      <c r="D33" s="80"/>
      <c r="E33" s="12">
        <f>E20+E22+E26+E28+E30+E32</f>
        <v>63124436.737781249</v>
      </c>
      <c r="F33" s="13"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mQ5Pnza5XJmlaaZc7xYPur3Taq9BNEDEb8oyjzbk1KhdhjRJkrlFG9EoxQho3esidsb4ZLrCH1N35ouoNEkHg==" saltValue="siJVWUHjeYAOG+Zflzj3F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4">
        <v>15738902.464875489</v>
      </c>
      <c r="H5" s="14" t="s">
        <v>3</v>
      </c>
      <c r="I5" s="1"/>
    </row>
    <row r="6" spans="1:9" x14ac:dyDescent="0.25">
      <c r="A6" s="1"/>
      <c r="B6" s="126" t="s">
        <v>39</v>
      </c>
      <c r="C6" s="127"/>
      <c r="D6" s="127"/>
      <c r="E6" s="127"/>
      <c r="F6" s="128"/>
      <c r="G6" s="54">
        <f>G5*'Fane 13. Nøgletal'!C31</f>
        <v>314778.04929750977</v>
      </c>
      <c r="H6" s="14" t="s">
        <v>3</v>
      </c>
      <c r="I6" s="1"/>
    </row>
    <row r="7" spans="1:9" x14ac:dyDescent="0.25">
      <c r="A7" s="1"/>
      <c r="B7" s="64"/>
      <c r="C7" s="65"/>
      <c r="D7" s="65"/>
      <c r="E7" s="65"/>
      <c r="F7" s="65"/>
      <c r="G7" s="55"/>
      <c r="H7" s="19"/>
      <c r="I7" s="1"/>
    </row>
    <row r="8" spans="1:9" x14ac:dyDescent="0.25">
      <c r="A8" s="1"/>
      <c r="B8" s="1"/>
      <c r="C8" s="1"/>
      <c r="D8" s="1"/>
      <c r="E8" s="1"/>
      <c r="F8" s="1"/>
      <c r="G8" s="56"/>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4">
        <f>(G5-G6)*(1+'Fane 13. Nøgletal'!C9)</f>
        <v>15620010.795655819</v>
      </c>
      <c r="H10" s="14" t="s">
        <v>3</v>
      </c>
      <c r="I10" s="1"/>
    </row>
    <row r="11" spans="1:9" x14ac:dyDescent="0.25">
      <c r="A11" s="1"/>
      <c r="B11" s="129" t="s">
        <v>41</v>
      </c>
      <c r="C11" s="130"/>
      <c r="D11" s="130"/>
      <c r="E11" s="130"/>
      <c r="F11" s="131"/>
      <c r="G11" s="54">
        <v>0</v>
      </c>
      <c r="H11" s="14" t="s">
        <v>3</v>
      </c>
      <c r="I11" s="1"/>
    </row>
    <row r="12" spans="1:9" x14ac:dyDescent="0.25">
      <c r="A12" s="1"/>
      <c r="B12" s="126" t="s">
        <v>42</v>
      </c>
      <c r="C12" s="127"/>
      <c r="D12" s="127"/>
      <c r="E12" s="127"/>
      <c r="F12" s="128"/>
      <c r="G12" s="54">
        <f>(G10+G11)*'Fane 13. Nøgletal'!C31</f>
        <v>312400.21591311641</v>
      </c>
      <c r="H12" s="14" t="s">
        <v>3</v>
      </c>
      <c r="I12" s="1"/>
    </row>
    <row r="13" spans="1:9" x14ac:dyDescent="0.25">
      <c r="A13" s="1"/>
      <c r="B13" s="64"/>
      <c r="C13" s="65"/>
      <c r="D13" s="65"/>
      <c r="E13" s="65"/>
      <c r="F13" s="65"/>
      <c r="G13" s="55"/>
      <c r="H13" s="19"/>
      <c r="I13" s="1"/>
    </row>
    <row r="14" spans="1:9" x14ac:dyDescent="0.25">
      <c r="A14" s="1"/>
      <c r="B14" s="1"/>
      <c r="C14" s="1"/>
      <c r="D14" s="1"/>
      <c r="E14" s="1"/>
      <c r="F14" s="1"/>
      <c r="G14" s="56"/>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4">
        <f>(G10+G11-G12)*(1+'Fane 13. Nøgletal'!C11)</f>
        <v>15566309.198540352</v>
      </c>
      <c r="H16" s="14" t="s">
        <v>3</v>
      </c>
      <c r="I16" s="1"/>
    </row>
    <row r="17" spans="1:9" x14ac:dyDescent="0.25">
      <c r="A17" s="1"/>
      <c r="B17" s="126" t="s">
        <v>108</v>
      </c>
      <c r="C17" s="127"/>
      <c r="D17" s="127"/>
      <c r="E17" s="127"/>
      <c r="F17" s="128"/>
      <c r="G17" s="54">
        <v>-319079.72669427894</v>
      </c>
      <c r="H17" s="14" t="s">
        <v>3</v>
      </c>
      <c r="I17" s="1"/>
    </row>
    <row r="18" spans="1:9" x14ac:dyDescent="0.25">
      <c r="A18" s="1"/>
      <c r="B18" s="129" t="s">
        <v>44</v>
      </c>
      <c r="C18" s="130"/>
      <c r="D18" s="130"/>
      <c r="E18" s="130"/>
      <c r="F18" s="131"/>
      <c r="G18" s="54">
        <v>0</v>
      </c>
      <c r="H18" s="14" t="s">
        <v>3</v>
      </c>
      <c r="I18" s="1"/>
    </row>
    <row r="19" spans="1:9" x14ac:dyDescent="0.25">
      <c r="A19" s="1"/>
      <c r="B19" s="126" t="s">
        <v>45</v>
      </c>
      <c r="C19" s="127"/>
      <c r="D19" s="127"/>
      <c r="E19" s="127"/>
      <c r="F19" s="128"/>
      <c r="G19" s="54">
        <f>SUM(G16:G18)*'Fane 13. Nøgletal'!C31</f>
        <v>304944.58943692147</v>
      </c>
      <c r="H19" s="14" t="s">
        <v>3</v>
      </c>
      <c r="I19" s="1"/>
    </row>
    <row r="20" spans="1:9" x14ac:dyDescent="0.25">
      <c r="A20" s="1"/>
      <c r="B20" s="64"/>
      <c r="C20" s="65"/>
      <c r="D20" s="65"/>
      <c r="E20" s="65"/>
      <c r="F20" s="65"/>
      <c r="G20" s="55"/>
      <c r="H20" s="19"/>
      <c r="I20" s="1"/>
    </row>
    <row r="21" spans="1:9" x14ac:dyDescent="0.25">
      <c r="A21" s="1"/>
      <c r="B21" s="1"/>
      <c r="C21" s="1"/>
      <c r="D21" s="1"/>
      <c r="E21" s="1"/>
      <c r="F21" s="1"/>
      <c r="G21" s="56"/>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4">
        <f>(SUM(G16:G18)-G19)*(1+'Fane 13. Nøgletal'!C11)</f>
        <v>15194809.496921865</v>
      </c>
      <c r="H23" s="14" t="s">
        <v>3</v>
      </c>
      <c r="I23" s="1"/>
    </row>
    <row r="24" spans="1:9" x14ac:dyDescent="0.25">
      <c r="A24" s="1"/>
      <c r="B24" s="129" t="s">
        <v>47</v>
      </c>
      <c r="C24" s="130"/>
      <c r="D24" s="130"/>
      <c r="E24" s="130"/>
      <c r="F24" s="131"/>
      <c r="G24" s="54">
        <v>100231.41272364001</v>
      </c>
      <c r="H24" s="14" t="s">
        <v>3</v>
      </c>
      <c r="I24" s="1"/>
    </row>
    <row r="25" spans="1:9" x14ac:dyDescent="0.25">
      <c r="A25" s="1"/>
      <c r="B25" s="126" t="s">
        <v>48</v>
      </c>
      <c r="C25" s="127"/>
      <c r="D25" s="127"/>
      <c r="E25" s="127"/>
      <c r="F25" s="128"/>
      <c r="G25" s="54">
        <f>(G23+G24)*'Fane 13. Nøgletal'!C31</f>
        <v>305900.81819291011</v>
      </c>
      <c r="H25" s="14" t="s">
        <v>3</v>
      </c>
      <c r="I25" s="1"/>
    </row>
    <row r="26" spans="1:9" x14ac:dyDescent="0.25">
      <c r="A26" s="1"/>
      <c r="B26" s="64"/>
      <c r="C26" s="65"/>
      <c r="D26" s="65"/>
      <c r="E26" s="65"/>
      <c r="F26" s="65"/>
      <c r="G26" s="55"/>
      <c r="H26" s="19"/>
      <c r="I26" s="1"/>
    </row>
    <row r="27" spans="1:9" x14ac:dyDescent="0.25">
      <c r="A27" s="1"/>
      <c r="B27" s="1"/>
      <c r="C27" s="1"/>
      <c r="D27" s="1"/>
      <c r="E27" s="1"/>
      <c r="F27" s="1"/>
      <c r="G27" s="56"/>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4">
        <f>(G23+G24-G25)*(1+'Fane 13. Nøgletal'!C13)</f>
        <v>15172007.600568317</v>
      </c>
      <c r="H29" s="14" t="s">
        <v>3</v>
      </c>
      <c r="I29" s="1"/>
    </row>
    <row r="30" spans="1:9" x14ac:dyDescent="0.25">
      <c r="A30" s="1"/>
      <c r="B30" s="126" t="s">
        <v>121</v>
      </c>
      <c r="C30" s="127"/>
      <c r="D30" s="127"/>
      <c r="E30" s="127"/>
      <c r="F30" s="128"/>
      <c r="G30" s="54">
        <v>37727.986484159999</v>
      </c>
      <c r="H30" s="14" t="s">
        <v>3</v>
      </c>
      <c r="I30" s="1"/>
    </row>
    <row r="31" spans="1:9" x14ac:dyDescent="0.25">
      <c r="A31" s="1"/>
      <c r="B31" s="126" t="s">
        <v>126</v>
      </c>
      <c r="C31" s="127"/>
      <c r="D31" s="127"/>
      <c r="E31" s="127"/>
      <c r="F31" s="128"/>
      <c r="G31" s="54">
        <f>(G29+G30)*'Fane 13. Nøgletal'!C31</f>
        <v>304194.71174104954</v>
      </c>
      <c r="H31" s="14" t="s">
        <v>3</v>
      </c>
      <c r="I31" s="1"/>
    </row>
    <row r="32" spans="1:9" x14ac:dyDescent="0.25">
      <c r="A32" s="1"/>
      <c r="B32" s="64"/>
      <c r="C32" s="65"/>
      <c r="D32" s="65"/>
      <c r="E32" s="65"/>
      <c r="F32" s="65"/>
      <c r="G32" s="55"/>
      <c r="H32" s="19"/>
      <c r="I32" s="1"/>
    </row>
    <row r="33" spans="1:9" x14ac:dyDescent="0.25">
      <c r="A33" s="1"/>
      <c r="B33" s="1"/>
      <c r="C33" s="1"/>
      <c r="D33" s="1"/>
      <c r="E33" s="1"/>
      <c r="F33" s="1"/>
      <c r="G33" s="56"/>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4">
        <f>(G29+G30-G31)*(1+'Fane 13. Nøgletal'!C13)</f>
        <v>15087388.473990228</v>
      </c>
      <c r="H35" s="14" t="s">
        <v>3</v>
      </c>
      <c r="I35" s="1"/>
    </row>
    <row r="36" spans="1:9" x14ac:dyDescent="0.25">
      <c r="A36" s="1"/>
      <c r="B36" s="126" t="s">
        <v>152</v>
      </c>
      <c r="C36" s="127"/>
      <c r="D36" s="127"/>
      <c r="E36" s="127"/>
      <c r="F36" s="128"/>
      <c r="G36" s="54">
        <f>('Fane 3. Omkostninger i ØR2022'!E10+'Fane 3. Omkostninger i ØR2022'!E12+'Fane 3. Omkostninger i ØR2022'!E14)*(1+'Fane 13. Nøgletal'!C14)</f>
        <v>731044.11258627009</v>
      </c>
      <c r="H36" s="14" t="s">
        <v>3</v>
      </c>
      <c r="I36" s="1"/>
    </row>
    <row r="37" spans="1:9" x14ac:dyDescent="0.25">
      <c r="A37" s="1"/>
      <c r="B37" s="126" t="s">
        <v>134</v>
      </c>
      <c r="C37" s="127"/>
      <c r="D37" s="127"/>
      <c r="E37" s="127"/>
      <c r="F37" s="128"/>
      <c r="G37" s="54">
        <f>(G35+G36)*'Fane 13. Nøgletal'!C31</f>
        <v>316368.65173152997</v>
      </c>
      <c r="H37" s="14" t="s">
        <v>3</v>
      </c>
      <c r="I37" s="1"/>
    </row>
    <row r="38" spans="1:9" x14ac:dyDescent="0.25">
      <c r="A38" s="1"/>
      <c r="B38" s="64"/>
      <c r="C38" s="65"/>
      <c r="D38" s="65"/>
      <c r="E38" s="65"/>
      <c r="F38" s="65"/>
      <c r="G38" s="55"/>
      <c r="H38" s="19"/>
      <c r="I38" s="1"/>
    </row>
    <row r="39" spans="1:9" x14ac:dyDescent="0.25">
      <c r="A39" s="1"/>
      <c r="B39" s="1"/>
      <c r="C39" s="1"/>
      <c r="D39" s="1"/>
      <c r="E39" s="1"/>
      <c r="F39" s="1"/>
      <c r="G39" s="56"/>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4">
        <f>(G35+G36-G37)*(1+'Fane 13. Nøgletal'!C15)</f>
        <v>16053937.410925452</v>
      </c>
      <c r="H41" s="14" t="s">
        <v>3</v>
      </c>
      <c r="I41" s="1"/>
    </row>
    <row r="42" spans="1:9" x14ac:dyDescent="0.25">
      <c r="A42" s="1"/>
      <c r="B42" s="126" t="s">
        <v>197</v>
      </c>
      <c r="C42" s="127"/>
      <c r="D42" s="127"/>
      <c r="E42" s="127"/>
      <c r="F42" s="128"/>
      <c r="G42" s="54">
        <f>('Fane 2.1. Økonomisk ramme 2023'!C9+'Fane 2.1. Økonomisk ramme 2023'!C11+'Fane 2.1. Økonomisk ramme 2023'!C13)*(1+'Fane 13. Nøgletal'!C15)</f>
        <v>988184.29511232022</v>
      </c>
      <c r="H42" s="14" t="s">
        <v>3</v>
      </c>
      <c r="I42" s="1"/>
    </row>
    <row r="43" spans="1:9" x14ac:dyDescent="0.25">
      <c r="A43" s="1"/>
      <c r="B43" s="126" t="s">
        <v>208</v>
      </c>
      <c r="C43" s="127"/>
      <c r="D43" s="127"/>
      <c r="E43" s="127"/>
      <c r="F43" s="128"/>
      <c r="G43" s="54">
        <f>(G41+G42)*'Fane 13. Nøgletal'!C31</f>
        <v>340842.43412075541</v>
      </c>
      <c r="H43" s="14" t="s">
        <v>3</v>
      </c>
      <c r="I43" s="1"/>
    </row>
    <row r="44" spans="1:9" x14ac:dyDescent="0.25">
      <c r="A44" s="1"/>
      <c r="B44" s="64"/>
      <c r="C44" s="65"/>
      <c r="D44" s="65"/>
      <c r="E44" s="65"/>
      <c r="F44" s="65"/>
      <c r="G44" s="55"/>
      <c r="H44" s="19"/>
      <c r="I44" s="1"/>
    </row>
    <row r="45" spans="1:9" x14ac:dyDescent="0.25">
      <c r="A45" s="1"/>
      <c r="B45" s="1"/>
      <c r="C45" s="1"/>
      <c r="D45" s="1"/>
      <c r="E45" s="1"/>
      <c r="F45" s="1"/>
      <c r="G45" s="56"/>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4">
        <f>(G41+G42-G43)*(1+'Fane 13. Nøgletal'!C15)</f>
        <v>17295844.813997261</v>
      </c>
      <c r="H47" s="14" t="s">
        <v>3</v>
      </c>
      <c r="I47" s="1"/>
    </row>
    <row r="48" spans="1:9" x14ac:dyDescent="0.25">
      <c r="A48" s="1"/>
      <c r="B48" s="126" t="s">
        <v>209</v>
      </c>
      <c r="C48" s="127"/>
      <c r="D48" s="127"/>
      <c r="E48" s="127"/>
      <c r="F48" s="128"/>
      <c r="G48" s="54">
        <f>(G47)*'Fane 13. Nøgletal'!C31</f>
        <v>345916.89627994521</v>
      </c>
      <c r="H48" s="14" t="s">
        <v>3</v>
      </c>
      <c r="I48" s="1"/>
    </row>
    <row r="49" spans="1:9" x14ac:dyDescent="0.25">
      <c r="A49" s="1"/>
      <c r="B49" s="64"/>
      <c r="C49" s="65"/>
      <c r="D49" s="65"/>
      <c r="E49" s="65"/>
      <c r="F49" s="65"/>
      <c r="G49" s="55"/>
      <c r="H49" s="19"/>
      <c r="I49" s="1"/>
    </row>
    <row r="50" spans="1:9" x14ac:dyDescent="0.25">
      <c r="A50" s="1"/>
      <c r="B50" s="1"/>
      <c r="C50" s="1"/>
      <c r="D50" s="1"/>
      <c r="E50" s="1"/>
      <c r="F50" s="1"/>
      <c r="G50" s="56"/>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4">
        <f>(G47-G48)*(1+'Fane 13. Nøgletal'!C15)</f>
        <v>17553345.351588052</v>
      </c>
      <c r="H52" s="14" t="s">
        <v>3</v>
      </c>
      <c r="I52" s="1"/>
    </row>
    <row r="53" spans="1:9" x14ac:dyDescent="0.25">
      <c r="A53" s="1"/>
      <c r="B53" s="126" t="s">
        <v>147</v>
      </c>
      <c r="C53" s="127"/>
      <c r="D53" s="127"/>
      <c r="E53" s="127"/>
      <c r="F53" s="128"/>
      <c r="G53" s="54">
        <f>(G52)*'Fane 13. Nøgletal'!C31</f>
        <v>351066.90703176102</v>
      </c>
      <c r="H53" s="14" t="s">
        <v>3</v>
      </c>
      <c r="I53" s="1"/>
    </row>
    <row r="54" spans="1:9" x14ac:dyDescent="0.25">
      <c r="A54" s="1"/>
      <c r="B54" s="64"/>
      <c r="C54" s="65"/>
      <c r="D54" s="65"/>
      <c r="E54" s="65"/>
      <c r="F54" s="65"/>
      <c r="G54" s="55"/>
      <c r="H54" s="19"/>
      <c r="I54" s="1"/>
    </row>
    <row r="55" spans="1:9" x14ac:dyDescent="0.25">
      <c r="A55" s="1"/>
      <c r="B55" s="1"/>
      <c r="C55" s="1"/>
      <c r="D55" s="1"/>
      <c r="E55" s="1"/>
      <c r="F55" s="1"/>
      <c r="G55" s="56"/>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4">
        <f>(G52-G53)*(1+'Fane 13. Nøgletal'!C15)</f>
        <v>17814679.557182498</v>
      </c>
      <c r="H57" s="14" t="s">
        <v>3</v>
      </c>
      <c r="I57" s="1"/>
    </row>
    <row r="58" spans="1:9" x14ac:dyDescent="0.25">
      <c r="A58" s="1"/>
      <c r="B58" s="126" t="s">
        <v>176</v>
      </c>
      <c r="C58" s="127"/>
      <c r="D58" s="127"/>
      <c r="E58" s="127"/>
      <c r="F58" s="128"/>
      <c r="G58" s="54">
        <f>(G57)*'Fane 13. Nøgletal'!C31</f>
        <v>356293.59114364994</v>
      </c>
      <c r="H58" s="14" t="s">
        <v>3</v>
      </c>
      <c r="I58" s="1"/>
    </row>
    <row r="59" spans="1:9" x14ac:dyDescent="0.25">
      <c r="A59" s="1"/>
      <c r="B59" s="64"/>
      <c r="C59" s="65"/>
      <c r="D59" s="65"/>
      <c r="E59" s="65"/>
      <c r="F59" s="65"/>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EFbtVWkKhl3rrZfud2xR+Cx4f3fwYps9oAuSeCk99leVJQwFzoB7ov2Rtg2CaiLBy95Yihluvb9C1sMZ2Wn+Hw==" saltValue="BlmKpbl0fUNs4Cf2T7meF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3.85546875" style="2" customWidth="1"/>
    <col min="2" max="5" width="9" style="2"/>
    <col min="6" max="6" width="25.5703125" style="2" customWidth="1"/>
    <col min="7" max="7" width="10.28515625" style="2" customWidth="1"/>
    <col min="8" max="8" width="2.85546875" style="2" bestFit="1" customWidth="1"/>
    <col min="9" max="9" width="3.85546875"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4">
        <v>15496287.087623827</v>
      </c>
      <c r="H5" s="14" t="s">
        <v>3</v>
      </c>
      <c r="I5" s="1"/>
    </row>
    <row r="6" spans="1:9" x14ac:dyDescent="0.25">
      <c r="A6" s="1"/>
      <c r="B6" s="126" t="s">
        <v>54</v>
      </c>
      <c r="C6" s="127"/>
      <c r="D6" s="127"/>
      <c r="E6" s="127"/>
      <c r="F6" s="128"/>
      <c r="G6" s="54">
        <f>G5*'Fane 13. Nøgletal'!C20</f>
        <v>141016.21249737684</v>
      </c>
      <c r="H6" s="14" t="s">
        <v>3</v>
      </c>
      <c r="I6" s="1"/>
    </row>
    <row r="7" spans="1:9" x14ac:dyDescent="0.25">
      <c r="A7" s="1"/>
      <c r="B7" s="64"/>
      <c r="C7" s="65"/>
      <c r="D7" s="65"/>
      <c r="E7" s="65"/>
      <c r="F7" s="65"/>
      <c r="G7" s="57"/>
      <c r="H7" s="19"/>
      <c r="I7" s="1"/>
    </row>
    <row r="8" spans="1:9" x14ac:dyDescent="0.25">
      <c r="A8" s="1"/>
      <c r="B8" s="1"/>
      <c r="C8" s="1"/>
      <c r="D8" s="1"/>
      <c r="E8" s="1"/>
      <c r="F8" s="1"/>
      <c r="G8" s="58"/>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4">
        <f>(G5-G6)*(1+'Fane 13. Nøgletal'!C9)</f>
        <v>15550282.815240556</v>
      </c>
      <c r="H10" s="14" t="s">
        <v>3</v>
      </c>
      <c r="I10" s="1"/>
    </row>
    <row r="11" spans="1:9" x14ac:dyDescent="0.25">
      <c r="A11" s="1"/>
      <c r="B11" s="129" t="s">
        <v>59</v>
      </c>
      <c r="C11" s="130"/>
      <c r="D11" s="130"/>
      <c r="E11" s="130"/>
      <c r="F11" s="131"/>
      <c r="G11" s="59">
        <v>0</v>
      </c>
      <c r="H11" s="14" t="s">
        <v>3</v>
      </c>
      <c r="I11" s="1"/>
    </row>
    <row r="12" spans="1:9" x14ac:dyDescent="0.25">
      <c r="A12" s="1"/>
      <c r="B12" s="126" t="s">
        <v>60</v>
      </c>
      <c r="C12" s="127"/>
      <c r="D12" s="127"/>
      <c r="E12" s="127"/>
      <c r="F12" s="128"/>
      <c r="G12" s="54">
        <f>G10*'Fane 13. Nøgletal'!C20+G11*'Fane 13. Nøgletal'!C21</f>
        <v>141507.57361868906</v>
      </c>
      <c r="H12" s="14" t="s">
        <v>3</v>
      </c>
      <c r="I12" s="1"/>
    </row>
    <row r="13" spans="1:9" x14ac:dyDescent="0.25">
      <c r="A13" s="1"/>
      <c r="B13" s="64"/>
      <c r="C13" s="65"/>
      <c r="D13" s="65"/>
      <c r="E13" s="65"/>
      <c r="F13" s="65"/>
      <c r="G13" s="57"/>
      <c r="H13" s="19"/>
      <c r="I13" s="1"/>
    </row>
    <row r="14" spans="1:9" x14ac:dyDescent="0.25">
      <c r="A14" s="1"/>
      <c r="B14" s="1"/>
      <c r="C14" s="1"/>
      <c r="D14" s="1"/>
      <c r="E14" s="1"/>
      <c r="F14" s="1"/>
      <c r="G14" s="58"/>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4">
        <f>(G10+G11-G12)*(1+'Fane 13. Nøgletal'!C11)</f>
        <v>15669183.543205274</v>
      </c>
      <c r="H16" s="14" t="s">
        <v>3</v>
      </c>
      <c r="I16" s="1"/>
    </row>
    <row r="17" spans="1:9" x14ac:dyDescent="0.25">
      <c r="A17" s="1"/>
      <c r="B17" s="126" t="s">
        <v>109</v>
      </c>
      <c r="C17" s="127"/>
      <c r="D17" s="127"/>
      <c r="E17" s="127"/>
      <c r="F17" s="128"/>
      <c r="G17" s="54">
        <v>-309900.20554507722</v>
      </c>
      <c r="H17" s="14" t="s">
        <v>3</v>
      </c>
      <c r="I17" s="1"/>
    </row>
    <row r="18" spans="1:9" x14ac:dyDescent="0.25">
      <c r="A18" s="1"/>
      <c r="B18" s="129" t="s">
        <v>63</v>
      </c>
      <c r="C18" s="130"/>
      <c r="D18" s="130"/>
      <c r="E18" s="130"/>
      <c r="F18" s="131"/>
      <c r="G18" s="54">
        <v>71620.245411890923</v>
      </c>
      <c r="H18" s="14" t="s">
        <v>3</v>
      </c>
      <c r="I18" s="1"/>
    </row>
    <row r="19" spans="1:9" x14ac:dyDescent="0.25">
      <c r="A19" s="1"/>
      <c r="B19" s="126" t="s">
        <v>64</v>
      </c>
      <c r="C19" s="127"/>
      <c r="D19" s="127"/>
      <c r="E19" s="127"/>
      <c r="F19" s="128"/>
      <c r="G19" s="54">
        <f>(G16+G17+G18)*'Fane 13. Nøgletal'!C22</f>
        <v>134248.86117272716</v>
      </c>
      <c r="H19" s="14" t="s">
        <v>3</v>
      </c>
      <c r="I19" s="1"/>
    </row>
    <row r="20" spans="1:9" x14ac:dyDescent="0.25">
      <c r="A20" s="1"/>
      <c r="B20" s="64"/>
      <c r="C20" s="65"/>
      <c r="D20" s="65"/>
      <c r="E20" s="65"/>
      <c r="F20" s="65"/>
      <c r="G20" s="57"/>
      <c r="H20" s="19"/>
      <c r="I20" s="1"/>
    </row>
    <row r="21" spans="1:9" x14ac:dyDescent="0.25">
      <c r="A21" s="1"/>
      <c r="B21" s="1"/>
      <c r="C21" s="1"/>
      <c r="D21" s="1"/>
      <c r="E21" s="1"/>
      <c r="F21" s="1"/>
      <c r="G21" s="58"/>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4">
        <f>(SUM(G16:G18)-G19)*(1+'Fane 13. Nøgletal'!C11)</f>
        <v>15555168.186699459</v>
      </c>
      <c r="H23" s="14" t="s">
        <v>3</v>
      </c>
      <c r="I23" s="1"/>
    </row>
    <row r="24" spans="1:9" x14ac:dyDescent="0.25">
      <c r="A24" s="1"/>
      <c r="B24" s="129" t="s">
        <v>67</v>
      </c>
      <c r="C24" s="130"/>
      <c r="D24" s="130"/>
      <c r="E24" s="130"/>
      <c r="F24" s="131"/>
      <c r="G24" s="54">
        <v>4222.5794334900002</v>
      </c>
      <c r="H24" s="14" t="s">
        <v>3</v>
      </c>
      <c r="I24" s="1"/>
    </row>
    <row r="25" spans="1:9" x14ac:dyDescent="0.25">
      <c r="A25" s="1"/>
      <c r="B25" s="126" t="s">
        <v>68</v>
      </c>
      <c r="C25" s="127"/>
      <c r="D25" s="127"/>
      <c r="E25" s="127"/>
      <c r="F25" s="128"/>
      <c r="G25" s="54">
        <f>G23*'Fane 13. Nøgletal'!C22+G24*'Fane 13. Nøgletal'!C23</f>
        <v>135449.8844801964</v>
      </c>
      <c r="H25" s="14" t="s">
        <v>3</v>
      </c>
      <c r="I25" s="1"/>
    </row>
    <row r="26" spans="1:9" x14ac:dyDescent="0.25">
      <c r="A26" s="1"/>
      <c r="B26" s="64"/>
      <c r="C26" s="65"/>
      <c r="D26" s="65"/>
      <c r="E26" s="65"/>
      <c r="F26" s="65"/>
      <c r="G26" s="57"/>
      <c r="H26" s="19"/>
      <c r="I26" s="1"/>
    </row>
    <row r="27" spans="1:9" x14ac:dyDescent="0.25">
      <c r="A27" s="1"/>
      <c r="B27" s="1"/>
      <c r="C27" s="1"/>
      <c r="D27" s="1"/>
      <c r="E27" s="1"/>
      <c r="F27" s="1"/>
      <c r="G27" s="58"/>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4">
        <f>(G23+G24-G25)*(1+'Fane 13. Nøgletal'!C13)</f>
        <v>15612112.960408915</v>
      </c>
      <c r="H29" s="14" t="s">
        <v>3</v>
      </c>
      <c r="I29" s="1"/>
    </row>
    <row r="30" spans="1:9" x14ac:dyDescent="0.25">
      <c r="A30" s="1"/>
      <c r="B30" s="126" t="s">
        <v>123</v>
      </c>
      <c r="C30" s="127"/>
      <c r="D30" s="127"/>
      <c r="E30" s="127"/>
      <c r="F30" s="128"/>
      <c r="G30" s="54">
        <v>280262.26153547998</v>
      </c>
      <c r="H30" s="14" t="s">
        <v>3</v>
      </c>
      <c r="I30" s="1"/>
    </row>
    <row r="31" spans="1:9" x14ac:dyDescent="0.25">
      <c r="A31" s="1"/>
      <c r="B31" s="126" t="s">
        <v>131</v>
      </c>
      <c r="C31" s="127"/>
      <c r="D31" s="127"/>
      <c r="E31" s="127"/>
      <c r="F31" s="128"/>
      <c r="G31" s="54">
        <f>(G29+G30)*'Fane 13. Nøgletal'!C24</f>
        <v>437040.31860347086</v>
      </c>
      <c r="H31" s="14" t="s">
        <v>3</v>
      </c>
      <c r="I31" s="1"/>
    </row>
    <row r="32" spans="1:9" x14ac:dyDescent="0.25">
      <c r="A32" s="1"/>
      <c r="B32" s="64"/>
      <c r="C32" s="65"/>
      <c r="D32" s="65"/>
      <c r="E32" s="65"/>
      <c r="F32" s="65"/>
      <c r="G32" s="57"/>
      <c r="H32" s="19"/>
      <c r="I32" s="1"/>
    </row>
    <row r="33" spans="1:9" x14ac:dyDescent="0.25">
      <c r="A33" s="1"/>
      <c r="B33" s="1"/>
      <c r="C33" s="1"/>
      <c r="D33" s="1"/>
      <c r="E33" s="1"/>
      <c r="F33" s="1"/>
      <c r="G33" s="58"/>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4">
        <f>(G29+G30-G31)*(1+'Fane 13. Nøgletal'!C13)</f>
        <v>15643889.989161683</v>
      </c>
      <c r="H35" s="14" t="s">
        <v>3</v>
      </c>
      <c r="I35" s="1"/>
    </row>
    <row r="36" spans="1:9" x14ac:dyDescent="0.25">
      <c r="A36" s="1"/>
      <c r="B36" s="126" t="s">
        <v>141</v>
      </c>
      <c r="C36" s="127"/>
      <c r="D36" s="127"/>
      <c r="E36" s="127"/>
      <c r="F36" s="128"/>
      <c r="G36" s="54">
        <f>SUM('Fane 3. Omkostninger i ØR2022'!E11)*(1+'Fane 13. Nøgletal'!C14)</f>
        <v>230628.64745146004</v>
      </c>
      <c r="H36" s="14" t="s">
        <v>3</v>
      </c>
      <c r="I36" s="1"/>
    </row>
    <row r="37" spans="1:9" x14ac:dyDescent="0.25">
      <c r="A37" s="1"/>
      <c r="B37" s="126" t="s">
        <v>136</v>
      </c>
      <c r="C37" s="127"/>
      <c r="D37" s="127"/>
      <c r="E37" s="127"/>
      <c r="F37" s="128"/>
      <c r="G37" s="54">
        <f>G35*'Fane 13. Nøgletal'!C24+G36*'Fane 13. Nøgletal'!C25</f>
        <v>433620.2786842279</v>
      </c>
      <c r="H37" s="14" t="s">
        <v>3</v>
      </c>
      <c r="I37" s="1"/>
    </row>
    <row r="38" spans="1:9" x14ac:dyDescent="0.25">
      <c r="A38" s="1"/>
      <c r="B38" s="64"/>
      <c r="C38" s="65"/>
      <c r="D38" s="65"/>
      <c r="E38" s="65"/>
      <c r="F38" s="65"/>
      <c r="G38" s="57"/>
      <c r="H38" s="19"/>
      <c r="I38" s="1"/>
    </row>
    <row r="39" spans="1:9" x14ac:dyDescent="0.25">
      <c r="A39" s="1"/>
      <c r="B39" s="1"/>
      <c r="C39" s="1"/>
      <c r="D39" s="1"/>
      <c r="E39" s="1"/>
      <c r="F39" s="1"/>
      <c r="G39" s="58"/>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4">
        <f>(G35+G36-G37)*(1+'Fane 13. Nøgletal'!C15)</f>
        <v>15990594.339471186</v>
      </c>
      <c r="H41" s="14" t="s">
        <v>3</v>
      </c>
      <c r="I41" s="1"/>
    </row>
    <row r="42" spans="1:9" x14ac:dyDescent="0.25">
      <c r="A42" s="1"/>
      <c r="B42" s="126" t="s">
        <v>211</v>
      </c>
      <c r="C42" s="127"/>
      <c r="D42" s="127"/>
      <c r="E42" s="127"/>
      <c r="F42" s="128"/>
      <c r="G42" s="59">
        <f>SUM('Fane 2.1. Økonomisk ramme 2023'!C10+'Fane 2.1. Økonomisk ramme 2023'!C12+'Fane 2.1. Økonomisk ramme 2023'!C14)*(1+'Fane 13. Nøgletal'!C15)</f>
        <v>844772.8872657601</v>
      </c>
      <c r="H42" s="14" t="s">
        <v>3</v>
      </c>
      <c r="I42" s="1"/>
    </row>
    <row r="43" spans="1:9" x14ac:dyDescent="0.25">
      <c r="A43" s="1"/>
      <c r="B43" s="126" t="s">
        <v>70</v>
      </c>
      <c r="C43" s="127"/>
      <c r="D43" s="127"/>
      <c r="E43" s="127"/>
      <c r="F43" s="128"/>
      <c r="G43" s="54">
        <f>(G41+G42)*'Fane 13. Nøgletal'!C26</f>
        <v>0</v>
      </c>
      <c r="H43" s="14" t="s">
        <v>3</v>
      </c>
      <c r="I43" s="1"/>
    </row>
    <row r="44" spans="1:9" x14ac:dyDescent="0.25">
      <c r="A44" s="1"/>
      <c r="B44" s="64"/>
      <c r="C44" s="65"/>
      <c r="D44" s="65"/>
      <c r="E44" s="65"/>
      <c r="F44" s="65"/>
      <c r="G44" s="57"/>
      <c r="H44" s="19"/>
      <c r="I44" s="1"/>
    </row>
    <row r="45" spans="1:9" ht="12" customHeight="1" x14ac:dyDescent="0.25">
      <c r="A45" s="1"/>
      <c r="B45" s="1"/>
      <c r="C45" s="1"/>
      <c r="D45" s="1"/>
      <c r="E45" s="1"/>
      <c r="F45" s="1"/>
      <c r="G45" s="58"/>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4">
        <f>(G41+G42-G43)*(1+'Fane 13. Nøgletal'!C15)</f>
        <v>17434706.300008781</v>
      </c>
      <c r="H47" s="14" t="s">
        <v>3</v>
      </c>
      <c r="I47" s="1"/>
    </row>
    <row r="48" spans="1:9" x14ac:dyDescent="0.25">
      <c r="A48" s="1"/>
      <c r="B48" s="126" t="s">
        <v>125</v>
      </c>
      <c r="C48" s="127"/>
      <c r="D48" s="127"/>
      <c r="E48" s="127"/>
      <c r="F48" s="128"/>
      <c r="G48" s="54">
        <f>(G47)*'Fane 13. Nøgletal'!C26</f>
        <v>0</v>
      </c>
      <c r="H48" s="14" t="s">
        <v>3</v>
      </c>
      <c r="I48" s="1"/>
    </row>
    <row r="49" spans="1:9" x14ac:dyDescent="0.25">
      <c r="A49" s="1"/>
      <c r="B49" s="64"/>
      <c r="C49" s="65"/>
      <c r="D49" s="65"/>
      <c r="E49" s="65"/>
      <c r="F49" s="65"/>
      <c r="G49" s="57"/>
      <c r="H49" s="19"/>
      <c r="I49" s="1"/>
    </row>
    <row r="50" spans="1:9" x14ac:dyDescent="0.25">
      <c r="A50" s="1"/>
      <c r="B50" s="1"/>
      <c r="C50" s="1"/>
      <c r="D50" s="1"/>
      <c r="E50" s="1"/>
      <c r="F50" s="1"/>
      <c r="G50" s="58"/>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4">
        <f>(G47-G48)*(1+'Fane 13. Nøgletal'!C15)</f>
        <v>18055381.844289094</v>
      </c>
      <c r="H52" s="14" t="s">
        <v>3</v>
      </c>
      <c r="I52" s="1"/>
    </row>
    <row r="53" spans="1:9" x14ac:dyDescent="0.25">
      <c r="A53" s="1"/>
      <c r="B53" s="126" t="s">
        <v>144</v>
      </c>
      <c r="C53" s="127"/>
      <c r="D53" s="127"/>
      <c r="E53" s="127"/>
      <c r="F53" s="128"/>
      <c r="G53" s="54">
        <f>(G52)*'Fane 13. Nøgletal'!C26</f>
        <v>0</v>
      </c>
      <c r="H53" s="14" t="s">
        <v>3</v>
      </c>
      <c r="I53" s="1"/>
    </row>
    <row r="54" spans="1:9" x14ac:dyDescent="0.25">
      <c r="A54" s="1"/>
      <c r="B54" s="64"/>
      <c r="C54" s="65"/>
      <c r="D54" s="65"/>
      <c r="E54" s="65"/>
      <c r="F54" s="65"/>
      <c r="G54" s="57"/>
      <c r="H54" s="19"/>
      <c r="I54" s="1"/>
    </row>
    <row r="55" spans="1:9" x14ac:dyDescent="0.25">
      <c r="A55" s="1"/>
      <c r="B55" s="1"/>
      <c r="C55" s="1"/>
      <c r="D55" s="1"/>
      <c r="E55" s="1"/>
      <c r="F55" s="1"/>
      <c r="G55" s="58"/>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4">
        <f>(G52-G53)*(1+'Fane 13. Nøgletal'!C15)</f>
        <v>18698153.437945787</v>
      </c>
      <c r="H57" s="14" t="s">
        <v>3</v>
      </c>
      <c r="I57" s="1"/>
    </row>
    <row r="58" spans="1:9" x14ac:dyDescent="0.25">
      <c r="A58" s="1"/>
      <c r="B58" s="126" t="s">
        <v>179</v>
      </c>
      <c r="C58" s="127"/>
      <c r="D58" s="127"/>
      <c r="E58" s="127"/>
      <c r="F58" s="128"/>
      <c r="G58" s="54">
        <f>(G57)*'Fane 13. Nøgletal'!C26</f>
        <v>0</v>
      </c>
      <c r="H58" s="14" t="s">
        <v>3</v>
      </c>
      <c r="I58" s="1"/>
    </row>
    <row r="59" spans="1:9" x14ac:dyDescent="0.25">
      <c r="A59" s="1"/>
      <c r="B59" s="64"/>
      <c r="C59" s="65"/>
      <c r="D59" s="65"/>
      <c r="E59" s="65"/>
      <c r="F59" s="65"/>
      <c r="G59" s="65"/>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e3LiqTfXHvFln4VoylmUrhDa5UejHfDiTrGMmjwyLfg1dpZ4PEVXjS5BKsZEfh9ziUniMAnakoXVKvl1vpOF2Q==" saltValue="/IYV3xlK51eZtXi4ms/IT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0"/>
      <c r="H8" s="1"/>
    </row>
    <row r="9" spans="1:8" x14ac:dyDescent="0.25">
      <c r="A9" s="1"/>
      <c r="B9" s="73" t="s">
        <v>180</v>
      </c>
      <c r="C9" s="74"/>
      <c r="D9" s="74"/>
      <c r="E9" s="74"/>
      <c r="F9" s="75"/>
      <c r="G9" s="28">
        <v>1.7810280612607591E-2</v>
      </c>
      <c r="H9" s="1"/>
    </row>
    <row r="10" spans="1:8" x14ac:dyDescent="0.25">
      <c r="A10" s="1"/>
      <c r="B10" s="64"/>
      <c r="C10" s="65"/>
      <c r="D10" s="65"/>
      <c r="E10" s="65"/>
      <c r="F10" s="65"/>
      <c r="G10" s="65"/>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VxTnhl0AvBQgo+n6P7Vosi9r+x+wPBvFf5IWoMnzoEuTu5tlBlfrVMt53yotuXoPQAU8PNAsOGVlQWSbkaISLw==" saltValue="kExZ3dHkIwSdgxL7fhQig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2022-12-01T08:58:49Z</dcterms:modified>
</cp:coreProperties>
</file>