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Glostrup Spildevand AS (S03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20" i="23" l="1"/>
  <c r="C20" i="22"/>
  <c r="C20" i="15"/>
  <c r="E24" i="32" l="1"/>
  <c r="E32" i="32" s="1"/>
  <c r="E34" i="32" s="1"/>
  <c r="E28" i="32" l="1"/>
  <c r="C32" i="2" s="1"/>
  <c r="C12" i="19"/>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3"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<sst xmlns="http://schemas.openxmlformats.org/spreadsheetml/2006/main" count="609" uniqueCount="288">
  <si>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</si>
  <si>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</si>
  <si>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</si>
  <si>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</si>
  <si>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</si>
  <si>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</si>
  <si>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</si>
  <si>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</si>
  <si>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</si>
  <si>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</si>
  <si>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</si>
  <si>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</si>
  <si>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</si>
  <si>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</si>
  <si>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</si>
  <si>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</si>
  <si>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</si>
  <si>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</si>
  <si>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</si>
  <si>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</si>
  <si>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</si>
  <si>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</si>
  <si>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</si>
  <si>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</si>
  <si>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</si>
  <si>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</si>
  <si>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</si>
  <si>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</si>
  <si>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</si>
  <si>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</si>
  <si>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</si>
  <si>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</si>
  <si>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</si>
  <si>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</si>
  <si>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</si>
  <si>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</si>
  <si>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</si>
  <si>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</si>
  <si>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</si>
  <si>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</si>
  <si>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</si>
  <si>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</si>
  <si>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</si>
  <si>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</si>
  <si>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</si>
  <si>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</si>
  <si>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</si>
  <si>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</si>
  <si>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</si>
  <si>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</si>
  <si>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</si>
  <si>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</si>
  <si>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</si>
  <si>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</si>
  <si>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</si>
  <si>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</si>
  <si>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</si>
  <si>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</si>
  <si>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</si>
  <si>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</si>
  <si>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</si>
  <si>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</si>
  <si>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</si>
  <si>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</si>
  <si>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</si>
  <si>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</si>
  <si>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</si>
  <si>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</si>
  <si>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</si>
  <si>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</si>
  <si>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</si>
  <si>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</si>
  <si>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</si>
  <si>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</si>
  <si>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</si>
  <si>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</si>
  <si>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</si>
  <si>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</si>
  <si>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</si>
  <si>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</si>
  <si>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</si>
  <si>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</si>
  <si>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</si>
  <si>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</si>
  <si>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</si>
  <si>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</si>
  <si>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</si>
  <si>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</si>
  <si>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</si>
  <si>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</si>
  <si>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</si>
  <si>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</si>
  <si>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</si>
  <si>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</si>
  <si>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</si>
  <si>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</si>
  <si>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</si>
  <si>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</si>
  <si>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</si>
  <si>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</si>
  <si>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</si>
  <si>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</si>
  <si>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</si>
  <si>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</si>
  <si>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</si>
  <si>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</si>
  <si>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</si>
  <si>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</si>
  <si>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</si>
  <si>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</si>
  <si>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</si>
  <si>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</si>
  <si>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</si>
  <si>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</si>
  <si>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</si>
  <si>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</si>
  <si>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</si>
  <si>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</si>
  <si>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</si>
  <si>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</si>
  <si>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</si>
  <si>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</si>
  <si>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</si>
  <si>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</si>
  <si>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</si>
  <si>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</si>
  <si>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</si>
  <si>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</si>
  <si>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</si>
  <si>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</si>
  <si>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</si>
  <si>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</si>
  <si>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</si>
  <si>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</si>
  <si>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</si>
  <si>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</si>
  <si>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</si>
  <si>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</si>
  <si>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</si>
  <si>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</si>
  <si>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</si>
  <si>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</si>
  <si>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</si>
  <si>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</si>
  <si>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</si>
  <si>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</si>
  <si>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</si>
  <si>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</si>
  <si>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</si>
  <si>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</si>
  <si>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</si>
  <si>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</si>
  <si>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</si>
  <si>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</si>
  <si>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</si>
  <si>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</si>
  <si>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</si>
  <si>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</si>
  <si>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</si>
  <si>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</si>
  <si>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</si>
  <si>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</si>
  <si>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</si>
  <si>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</si>
  <si>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</si>
  <si>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</si>
  <si>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</si>
  <si>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</si>
  <si>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</si>
  <si>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</si>
  <si>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</si>
  <si>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</si>
  <si>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</si>
  <si>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</si>
  <si>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</si>
  <si>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</si>
  <si>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</si>
  <si>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</si>
  <si>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</si>
  <si>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</si>
  <si>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</si>
  <si>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</si>
  <si>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</si>
  <si>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</si>
  <si>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</si>
  <si>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</si>
  <si>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</si>
  <si>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</si>
  <si>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</si>
  <si>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</si>
  <si>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</si>
  <si>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</si>
  <si>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</si>
  <si>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</si>
  <si>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</si>
  <si>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</si>
  <si>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</si>
  <si>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</si>
  <si>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</si>
  <si>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</si>
  <si>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</si>
  <si>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</si>
  <si>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</si>
  <si>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</si>
  <si>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</si>
  <si>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</si>
  <si>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</si>
  <si>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</si>
  <si>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</si>
  <si>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</si>
  <si>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</si>
  <si>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</si>
  <si>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</si>
  <si>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</si>
  <si>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</si>
  <si>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</si>
  <si>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</si>
  <si>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</si>
  <si>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</si>
  <si>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</si>
  <si>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</si>
  <si>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</si>
  <si>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</si>
  <si>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</si>
  <si>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</si>
  <si>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</si>
  <si>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</si>
  <si>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</si>
  <si>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</si>
  <si>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</si>
  <si>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</si>
  <si>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</si>
  <si>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</si>
  <si>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</si>
  <si>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</si>
  <si>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</si>
  <si>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</si>
  <si>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</si>
  <si>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</si>
  <si>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</si>
  <si>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</si>
  <si>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</si>
  <si>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</si>
  <si>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</si>
  <si>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</si>
  <si>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</si>
  <si>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</si>
  <si>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</si>
  <si>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</si>
  <si>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</si>
  <si>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</si>
  <si>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</si>
  <si>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</si>
  <si>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</si>
  <si>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</si>
  <si>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</si>
  <si>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</si>
  <si>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</si>
  <si>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</si>
  <si>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</si>
  <si>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</si>
  <si>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</si>
  <si>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</si>
  <si>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</si>
  <si>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</si>
  <si>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</si>
  <si>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</si>
  <si>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Resultat af kontrol med overholdelse af den økonomiske ramme for 2021</t>
  </si>
  <si>
    <t>Separatkloakering mm.</t>
  </si>
  <si>
    <t>Udvidelse i 2021</t>
  </si>
  <si>
    <t>Flytning af ledninger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</si>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</sst>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7" t="s">
        <v>4</v>
      </c>
      <c r="E6" s="117"/>
      <c r="F6" s="117"/>
      <c r="G6" s="117"/>
      <c r="H6" s="3"/>
      <c r="I6" s="1"/>
    </row>
    <row r="7" spans="1:9" ht="15" customHeight="1" x14ac:dyDescent="0.25">
      <c r="A7" s="1"/>
      <c r="B7" s="1"/>
      <c r="C7" s="3"/>
      <c r="D7" s="117"/>
      <c r="E7" s="117"/>
      <c r="F7" s="117"/>
      <c r="G7" s="117"/>
      <c r="H7" s="3"/>
      <c r="I7" s="1"/>
    </row>
    <row r="8" spans="1:9" ht="15.75" x14ac:dyDescent="0.25">
      <c r="A8" s="1"/>
      <c r="B8" s="1"/>
      <c r="C8" s="4"/>
      <c r="D8" s="122" t="s">
        <v>225</v>
      </c>
      <c r="E8" s="122"/>
      <c r="F8" s="122"/>
      <c r="G8" s="122"/>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21" t="s">
        <v>5</v>
      </c>
      <c r="E11" s="121"/>
      <c r="F11" s="121"/>
      <c r="G11" s="121"/>
      <c r="H11" s="5"/>
      <c r="I11" s="1"/>
    </row>
    <row r="12" spans="1:9" x14ac:dyDescent="0.25">
      <c r="A12" s="1"/>
      <c r="B12" s="1"/>
      <c r="C12" s="1"/>
      <c r="D12" s="1"/>
      <c r="E12" s="1"/>
      <c r="F12" s="1"/>
      <c r="G12" s="1"/>
      <c r="H12" s="5"/>
      <c r="I12" s="1"/>
    </row>
    <row r="13" spans="1:9" x14ac:dyDescent="0.25">
      <c r="A13" s="1"/>
      <c r="B13" s="1"/>
      <c r="C13" s="6" t="s">
        <v>6</v>
      </c>
      <c r="D13" s="123" t="s">
        <v>169</v>
      </c>
      <c r="E13" s="124"/>
      <c r="F13" s="124"/>
      <c r="G13" s="125"/>
      <c r="H13" s="5"/>
      <c r="I13" s="1"/>
    </row>
    <row r="14" spans="1:9" x14ac:dyDescent="0.25">
      <c r="A14" s="1"/>
      <c r="B14" s="1"/>
      <c r="C14" s="6" t="s">
        <v>16</v>
      </c>
      <c r="D14" s="114" t="s">
        <v>235</v>
      </c>
      <c r="E14" s="115"/>
      <c r="F14" s="115"/>
      <c r="G14" s="116"/>
      <c r="H14" s="5"/>
      <c r="I14" s="1"/>
    </row>
    <row r="15" spans="1:9" x14ac:dyDescent="0.25">
      <c r="A15" s="1"/>
      <c r="B15" s="1"/>
      <c r="C15" s="6" t="s">
        <v>34</v>
      </c>
      <c r="D15" s="114" t="s">
        <v>170</v>
      </c>
      <c r="E15" s="115"/>
      <c r="F15" s="115"/>
      <c r="G15" s="116"/>
      <c r="H15" s="5"/>
      <c r="I15" s="1"/>
    </row>
    <row r="16" spans="1:9" x14ac:dyDescent="0.25">
      <c r="A16" s="1"/>
      <c r="B16" s="1"/>
      <c r="C16" s="6" t="s">
        <v>35</v>
      </c>
      <c r="D16" s="114" t="s">
        <v>182</v>
      </c>
      <c r="E16" s="115"/>
      <c r="F16" s="115"/>
      <c r="G16" s="116"/>
      <c r="H16" s="5"/>
      <c r="I16" s="1"/>
    </row>
    <row r="17" spans="1:9" x14ac:dyDescent="0.25">
      <c r="A17" s="1"/>
      <c r="B17" s="1"/>
      <c r="C17" s="6" t="s">
        <v>119</v>
      </c>
      <c r="D17" s="114" t="s">
        <v>183</v>
      </c>
      <c r="E17" s="115"/>
      <c r="F17" s="115"/>
      <c r="G17" s="116"/>
      <c r="H17" s="5"/>
      <c r="I17" s="1"/>
    </row>
    <row r="18" spans="1:9" x14ac:dyDescent="0.25">
      <c r="A18" s="1"/>
      <c r="B18" s="1"/>
      <c r="C18" s="6" t="s">
        <v>106</v>
      </c>
      <c r="D18" s="111" t="s">
        <v>95</v>
      </c>
      <c r="E18" s="112"/>
      <c r="F18" s="112"/>
      <c r="G18" s="113"/>
      <c r="H18" s="5"/>
      <c r="I18" s="1"/>
    </row>
    <row r="19" spans="1:9" x14ac:dyDescent="0.25">
      <c r="A19" s="1"/>
      <c r="B19" s="1"/>
      <c r="C19" s="6" t="s">
        <v>107</v>
      </c>
      <c r="D19" s="111" t="s">
        <v>96</v>
      </c>
      <c r="E19" s="112"/>
      <c r="F19" s="112"/>
      <c r="G19" s="113"/>
      <c r="H19" s="5"/>
      <c r="I19" s="1"/>
    </row>
    <row r="20" spans="1:9" x14ac:dyDescent="0.25">
      <c r="A20" s="1"/>
      <c r="B20" s="1"/>
      <c r="C20" s="6" t="s">
        <v>7</v>
      </c>
      <c r="D20" s="111" t="s">
        <v>10</v>
      </c>
      <c r="E20" s="112"/>
      <c r="F20" s="112"/>
      <c r="G20" s="113"/>
      <c r="H20" s="5"/>
      <c r="I20" s="1"/>
    </row>
    <row r="21" spans="1:9" x14ac:dyDescent="0.25">
      <c r="A21" s="1"/>
      <c r="B21" s="1"/>
      <c r="C21" s="6" t="s">
        <v>108</v>
      </c>
      <c r="D21" s="118" t="s">
        <v>12</v>
      </c>
      <c r="E21" s="119"/>
      <c r="F21" s="119"/>
      <c r="G21" s="120"/>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08" t="s">
        <v>105</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e7OT//T2E1CmGoVrapsVP4HA9DAB7dteajBsEbmL9AMOyrZIMMj+KhaqZXlThXvWFUJaw9dUaqWRubhCd4VqwA==" saltValue="tkeNRHYgwGDzlPfsHxFZb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6" t="s">
        <v>111</v>
      </c>
      <c r="C3" s="126"/>
      <c r="D3" s="126"/>
      <c r="E3" s="1"/>
      <c r="F3" s="1"/>
    </row>
    <row r="4" spans="1:6" ht="15" customHeight="1" x14ac:dyDescent="0.25">
      <c r="A4" s="1"/>
      <c r="B4" s="126"/>
      <c r="C4" s="126"/>
      <c r="D4" s="12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8" t="s">
        <v>199</v>
      </c>
      <c r="C8" s="139"/>
      <c r="D8" s="140"/>
      <c r="E8" s="1"/>
      <c r="F8" s="1"/>
    </row>
    <row r="9" spans="1:6" ht="15" customHeight="1" x14ac:dyDescent="0.25">
      <c r="A9" s="1"/>
      <c r="B9" s="26" t="s">
        <v>32</v>
      </c>
      <c r="C9" s="58" t="s">
        <v>240</v>
      </c>
      <c r="D9" s="11"/>
      <c r="E9" s="1"/>
      <c r="F9" s="1"/>
    </row>
    <row r="10" spans="1:6" x14ac:dyDescent="0.25">
      <c r="A10" s="1"/>
      <c r="B10" s="94" t="s">
        <v>265</v>
      </c>
      <c r="C10" s="9">
        <v>86083</v>
      </c>
      <c r="D10" s="14" t="s">
        <v>3</v>
      </c>
      <c r="E10" s="1"/>
      <c r="F10" s="1"/>
    </row>
    <row r="11" spans="1:6" x14ac:dyDescent="0.25">
      <c r="A11" s="1"/>
      <c r="B11" s="94" t="s">
        <v>266</v>
      </c>
      <c r="C11" s="9">
        <v>13703052</v>
      </c>
      <c r="D11" s="14" t="s">
        <v>3</v>
      </c>
      <c r="E11" s="1"/>
      <c r="F11" s="1"/>
    </row>
    <row r="12" spans="1:6" x14ac:dyDescent="0.25">
      <c r="A12" s="1"/>
      <c r="B12" s="32" t="s">
        <v>200</v>
      </c>
      <c r="C12" s="12">
        <f>SUM(C10:C11)</f>
        <v>13789135</v>
      </c>
      <c r="D12" s="13" t="s">
        <v>3</v>
      </c>
      <c r="E12" s="1"/>
      <c r="F12" s="1"/>
    </row>
    <row r="13" spans="1:6" x14ac:dyDescent="0.25">
      <c r="A13" s="1"/>
      <c r="B13" s="32" t="s">
        <v>201</v>
      </c>
      <c r="C13" s="12">
        <f>C12*(1+'Fane 15. Nøgletal'!C15)^2</f>
        <v>14788397.210133601</v>
      </c>
      <c r="D13" s="13" t="s">
        <v>3</v>
      </c>
      <c r="E13" s="1"/>
      <c r="F13" s="1"/>
    </row>
    <row r="14" spans="1:6" x14ac:dyDescent="0.25">
      <c r="A14" s="1"/>
      <c r="B14" s="16"/>
      <c r="C14" s="15"/>
      <c r="D14" s="15"/>
      <c r="E14" s="1"/>
      <c r="F14" s="1"/>
    </row>
    <row r="15" spans="1:6" x14ac:dyDescent="0.25">
      <c r="A15" s="1"/>
      <c r="B15" s="16"/>
      <c r="C15" s="15"/>
      <c r="D15" s="15"/>
      <c r="E15" s="1"/>
      <c r="F15" s="1"/>
    </row>
    <row r="16" spans="1:6" x14ac:dyDescent="0.25">
      <c r="A16" s="1"/>
      <c r="B16" s="138" t="s">
        <v>117</v>
      </c>
      <c r="C16" s="139"/>
      <c r="D16" s="140"/>
      <c r="E16" s="1"/>
      <c r="F16" s="1"/>
    </row>
    <row r="17" spans="1:6" x14ac:dyDescent="0.25">
      <c r="A17" s="1"/>
      <c r="B17" s="94" t="s">
        <v>99</v>
      </c>
      <c r="C17" s="9">
        <v>16381.602151641531</v>
      </c>
      <c r="D17" s="14" t="s">
        <v>3</v>
      </c>
      <c r="E17" s="1"/>
      <c r="F17" s="1"/>
    </row>
    <row r="18" spans="1:6" x14ac:dyDescent="0.25">
      <c r="A18" s="1"/>
      <c r="B18" s="94" t="s">
        <v>129</v>
      </c>
      <c r="C18" s="9">
        <v>16426.550870614054</v>
      </c>
      <c r="D18" s="14" t="s">
        <v>3</v>
      </c>
      <c r="E18" s="1"/>
      <c r="F18" s="1"/>
    </row>
    <row r="19" spans="1:6" x14ac:dyDescent="0.25">
      <c r="A19" s="1"/>
      <c r="B19" s="94" t="s">
        <v>155</v>
      </c>
      <c r="C19" s="9">
        <v>16472.173820371161</v>
      </c>
      <c r="D19" s="14" t="s">
        <v>3</v>
      </c>
      <c r="E19" s="1"/>
      <c r="F19" s="1"/>
    </row>
    <row r="20" spans="1:6" x14ac:dyDescent="0.25">
      <c r="A20" s="1"/>
      <c r="B20" s="33" t="s">
        <v>202</v>
      </c>
      <c r="C20" s="9">
        <v>3133.4602275679008</v>
      </c>
      <c r="D20" s="40" t="s">
        <v>3</v>
      </c>
      <c r="E20" s="1"/>
      <c r="F20" s="1"/>
    </row>
    <row r="21" spans="1:6" x14ac:dyDescent="0.25">
      <c r="A21" s="1"/>
      <c r="B21" s="138"/>
      <c r="C21" s="139"/>
      <c r="D21" s="140"/>
      <c r="E21" s="1"/>
      <c r="F21" s="1"/>
    </row>
    <row r="22" spans="1:6" x14ac:dyDescent="0.25">
      <c r="A22" s="1"/>
      <c r="B22" s="1"/>
      <c r="C22" s="1"/>
      <c r="D22" s="1"/>
      <c r="E22" s="1"/>
      <c r="F22" s="1"/>
    </row>
    <row r="23" spans="1:6" x14ac:dyDescent="0.25">
      <c r="A23" s="1"/>
      <c r="B23" s="1"/>
      <c r="C23" s="1"/>
      <c r="D23" s="1"/>
      <c r="E23" s="1"/>
      <c r="F23" s="1"/>
    </row>
    <row r="24" spans="1:6" x14ac:dyDescent="0.25">
      <c r="A24" s="1"/>
      <c r="B24" s="138" t="s">
        <v>98</v>
      </c>
      <c r="C24" s="139"/>
      <c r="D24" s="140"/>
      <c r="E24" s="1"/>
      <c r="F24" s="1"/>
    </row>
    <row r="25" spans="1:6" x14ac:dyDescent="0.25">
      <c r="A25" s="1"/>
      <c r="B25" s="94" t="s">
        <v>99</v>
      </c>
      <c r="C25" s="9">
        <v>0</v>
      </c>
      <c r="D25" s="14" t="s">
        <v>3</v>
      </c>
      <c r="E25" s="1"/>
      <c r="F25" s="1"/>
    </row>
    <row r="26" spans="1:6" x14ac:dyDescent="0.25">
      <c r="A26" s="1"/>
      <c r="B26" s="94" t="s">
        <v>129</v>
      </c>
      <c r="C26" s="9">
        <v>0</v>
      </c>
      <c r="D26" s="14" t="s">
        <v>3</v>
      </c>
      <c r="E26" s="1"/>
      <c r="F26" s="1"/>
    </row>
    <row r="27" spans="1:6" x14ac:dyDescent="0.25">
      <c r="A27" s="1"/>
      <c r="B27" s="94" t="s">
        <v>155</v>
      </c>
      <c r="C27" s="9">
        <v>0</v>
      </c>
      <c r="D27" s="14" t="s">
        <v>3</v>
      </c>
      <c r="E27" s="1"/>
      <c r="F27" s="1"/>
    </row>
    <row r="28" spans="1:6" x14ac:dyDescent="0.25">
      <c r="A28" s="1"/>
      <c r="B28" s="33" t="s">
        <v>202</v>
      </c>
      <c r="C28" s="9">
        <v>0</v>
      </c>
      <c r="D28" s="40" t="s">
        <v>3</v>
      </c>
      <c r="E28" s="1"/>
      <c r="F28" s="1"/>
    </row>
    <row r="29" spans="1:6" x14ac:dyDescent="0.25">
      <c r="A29" s="1"/>
      <c r="B29" s="138"/>
      <c r="C29" s="139"/>
      <c r="D29" s="140"/>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49"/>
      <c r="B46" s="49"/>
      <c r="C46" s="49"/>
      <c r="D46" s="49"/>
      <c r="E46" s="49"/>
      <c r="F46" s="49"/>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sheetData>
  <sheetProtection algorithmName="SHA-512" hashValue="H/krSAkOf0MJO1vw8iJLMczuiaUb1c0OGQygjA9UaGgzEGQ4csjrWIVP4bRkhpDhq5ChlHLzIQxLiqvMwHguOQ==" saltValue="CWXp+WWBlbMqLatiRQ+ihw==" spinCount="100000" sheet="1" objects="1" scenarios="1"/>
  <mergeCells count="6">
    <mergeCell ref="B29:D29"/>
    <mergeCell ref="B3:D4"/>
    <mergeCell ref="B8:D8"/>
    <mergeCell ref="B16:D16"/>
    <mergeCell ref="B24:D24"/>
    <mergeCell ref="B21:D21"/>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1" t="s">
        <v>203</v>
      </c>
      <c r="C3" s="131"/>
      <c r="D3" s="131"/>
      <c r="E3" s="131"/>
      <c r="F3" s="131"/>
      <c r="G3" s="1"/>
    </row>
    <row r="4" spans="1:7" ht="15" customHeight="1" x14ac:dyDescent="0.25">
      <c r="A4" s="1"/>
      <c r="B4" s="131"/>
      <c r="C4" s="131"/>
      <c r="D4" s="131"/>
      <c r="E4" s="131"/>
      <c r="F4" s="131"/>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8" t="s">
        <v>178</v>
      </c>
      <c r="C8" s="139"/>
      <c r="D8" s="139"/>
      <c r="E8" s="139"/>
      <c r="F8" s="140"/>
      <c r="G8" s="1"/>
    </row>
    <row r="9" spans="1:7" x14ac:dyDescent="0.25">
      <c r="A9" s="1"/>
      <c r="B9" s="143" t="s">
        <v>204</v>
      </c>
      <c r="C9" s="144"/>
      <c r="D9" s="145"/>
      <c r="E9" s="9">
        <v>-1889728.8864076734</v>
      </c>
      <c r="F9" s="14" t="s">
        <v>3</v>
      </c>
      <c r="G9" s="1"/>
    </row>
    <row r="10" spans="1:7" x14ac:dyDescent="0.25">
      <c r="A10" s="1"/>
      <c r="B10" s="143" t="s">
        <v>263</v>
      </c>
      <c r="C10" s="144"/>
      <c r="D10" s="145"/>
      <c r="E10" s="9">
        <v>-1542322.8275237642</v>
      </c>
      <c r="F10" s="14" t="s">
        <v>3</v>
      </c>
      <c r="G10" s="1"/>
    </row>
    <row r="11" spans="1:7" x14ac:dyDescent="0.25">
      <c r="A11" s="1"/>
      <c r="B11" s="32"/>
      <c r="C11" s="27"/>
      <c r="D11" s="27"/>
      <c r="E11" s="27"/>
      <c r="F11" s="19"/>
      <c r="G11" s="1"/>
    </row>
    <row r="12" spans="1:7" ht="83.25" customHeight="1" x14ac:dyDescent="0.25">
      <c r="A12" s="1"/>
      <c r="B12" s="128" t="s">
        <v>286</v>
      </c>
      <c r="C12" s="129"/>
      <c r="D12" s="129"/>
      <c r="E12" s="129"/>
      <c r="F12" s="130"/>
      <c r="G12" s="1"/>
    </row>
    <row r="13" spans="1:7" ht="27" customHeight="1" x14ac:dyDescent="0.25">
      <c r="A13" s="1"/>
      <c r="B13" s="1"/>
      <c r="C13" s="1"/>
      <c r="D13" s="1"/>
      <c r="E13" s="1"/>
      <c r="F13" s="1"/>
      <c r="G13" s="1"/>
    </row>
    <row r="14" spans="1:7" ht="28.5" customHeight="1" x14ac:dyDescent="0.25">
      <c r="A14" s="1"/>
      <c r="B14" s="138" t="s">
        <v>179</v>
      </c>
      <c r="C14" s="139"/>
      <c r="D14" s="139"/>
      <c r="E14" s="139"/>
      <c r="F14" s="140"/>
      <c r="G14" s="1"/>
    </row>
    <row r="15" spans="1:7" x14ac:dyDescent="0.25">
      <c r="A15" s="1"/>
      <c r="B15" s="143" t="s">
        <v>281</v>
      </c>
      <c r="C15" s="144"/>
      <c r="D15" s="145"/>
      <c r="E15" s="9">
        <v>-771161.59797885083</v>
      </c>
      <c r="F15" s="14" t="s">
        <v>3</v>
      </c>
      <c r="G15" s="1"/>
    </row>
    <row r="16" spans="1:7" x14ac:dyDescent="0.25">
      <c r="A16" s="1"/>
      <c r="B16" s="143" t="s">
        <v>282</v>
      </c>
      <c r="C16" s="144"/>
      <c r="D16" s="145"/>
      <c r="E16" s="9">
        <v>-771161.59797885083</v>
      </c>
      <c r="F16" s="14" t="s">
        <v>3</v>
      </c>
      <c r="G16" s="1"/>
    </row>
    <row r="17" spans="1:7" x14ac:dyDescent="0.25">
      <c r="A17" s="1"/>
      <c r="B17" s="32"/>
      <c r="C17" s="27"/>
      <c r="D17" s="27"/>
      <c r="E17" s="27"/>
      <c r="F17" s="19"/>
      <c r="G17" s="1"/>
    </row>
    <row r="18" spans="1:7" ht="31.5" customHeight="1" x14ac:dyDescent="0.25">
      <c r="A18" s="1"/>
      <c r="B18" s="128" t="s">
        <v>287</v>
      </c>
      <c r="C18" s="129"/>
      <c r="D18" s="129"/>
      <c r="E18" s="129"/>
      <c r="F18" s="130"/>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33547442.792489994</v>
      </c>
      <c r="F21" s="14" t="s">
        <v>3</v>
      </c>
      <c r="G21" s="1"/>
    </row>
    <row r="22" spans="1:7" x14ac:dyDescent="0.25">
      <c r="A22" s="1"/>
      <c r="B22" s="91" t="s">
        <v>207</v>
      </c>
      <c r="C22" s="92"/>
      <c r="D22" s="93"/>
      <c r="E22" s="9">
        <v>39181367</v>
      </c>
      <c r="F22" s="14" t="s">
        <v>3</v>
      </c>
      <c r="G22" s="1"/>
    </row>
    <row r="23" spans="1:7" x14ac:dyDescent="0.25">
      <c r="A23" s="1"/>
      <c r="B23" s="91" t="s">
        <v>33</v>
      </c>
      <c r="C23" s="92"/>
      <c r="D23" s="93"/>
      <c r="E23" s="9">
        <v>0</v>
      </c>
      <c r="F23" s="14" t="s">
        <v>3</v>
      </c>
      <c r="G23" s="1"/>
    </row>
    <row r="24" spans="1:7" x14ac:dyDescent="0.25">
      <c r="A24" s="1"/>
      <c r="B24" s="88" t="s">
        <v>267</v>
      </c>
      <c r="C24" s="89"/>
      <c r="D24" s="96"/>
      <c r="E24" s="72">
        <f>E21-(E22-E23)</f>
        <v>-5633924.2075100057</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8" t="s">
        <v>283</v>
      </c>
      <c r="C27" s="139"/>
      <c r="D27" s="139"/>
      <c r="E27" s="139"/>
      <c r="F27" s="140"/>
      <c r="G27" s="1"/>
    </row>
    <row r="28" spans="1:7" x14ac:dyDescent="0.25">
      <c r="A28" s="1"/>
      <c r="B28" s="141" t="s">
        <v>284</v>
      </c>
      <c r="C28" s="142"/>
      <c r="D28" s="165"/>
      <c r="E28" s="73">
        <f>IF(AND(E9&gt;0,(E9+E24)&gt;0),0,IF(AND(E9&gt;0,(E9+E24)&lt;0),0,IF(AND(E9&lt;0,E24&gt;0,E10=0),0,IF(AND(E9&lt;0,E24&gt;0,ABS(E10)&lt;ABS(E24)),ABS(E16),IF(AND(E9&lt;0,E24&gt;0,ABS(E10)&gt;ABS(E24),ABS(E16)&gt;ABS(E24)),-(ABS(E16)-ABS(E24)),IF(AND(E9&lt;0,E24&gt;0,ABS(E10)&gt;ABS(E24),ABS(E16)&lt;ABS(E24)),E24-ABS(E16),IF(AND(E9&lt;0,E24&lt;0),E16,0)))))))</f>
        <v>-771161.59797885083</v>
      </c>
      <c r="F28" s="17" t="s">
        <v>3</v>
      </c>
      <c r="G28" s="1"/>
    </row>
    <row r="29" spans="1:7" x14ac:dyDescent="0.25">
      <c r="A29" s="1"/>
      <c r="B29" s="138"/>
      <c r="C29" s="139"/>
      <c r="D29" s="139"/>
      <c r="E29" s="139"/>
      <c r="F29" s="140"/>
      <c r="G29" s="1"/>
    </row>
    <row r="30" spans="1:7" x14ac:dyDescent="0.25">
      <c r="A30" s="1"/>
      <c r="B30" s="1"/>
      <c r="C30" s="1"/>
      <c r="D30" s="1"/>
      <c r="E30" s="1"/>
      <c r="F30" s="1"/>
      <c r="G30" s="1"/>
    </row>
    <row r="31" spans="1:7" ht="28.5" customHeight="1" x14ac:dyDescent="0.25">
      <c r="A31" s="1"/>
      <c r="B31" s="138" t="s">
        <v>264</v>
      </c>
      <c r="C31" s="139"/>
      <c r="D31" s="139"/>
      <c r="E31" s="139"/>
      <c r="F31" s="140"/>
      <c r="G31" s="1"/>
    </row>
    <row r="32" spans="1:7" x14ac:dyDescent="0.25">
      <c r="A32" s="1"/>
      <c r="B32" s="158" t="s">
        <v>143</v>
      </c>
      <c r="C32" s="159"/>
      <c r="D32" s="160"/>
      <c r="E32" s="74">
        <f>IF(AND(E9&gt;0,(E9+E24)&gt;0),0,IF(AND(E9&gt;0,(E9+E24)&lt;0),(E9+E24),IF(AND(E9&lt;0,E24&lt;0),E24,0)))</f>
        <v>-5633924.2075100057</v>
      </c>
      <c r="F32" s="14" t="s">
        <v>3</v>
      </c>
      <c r="G32" s="1"/>
    </row>
    <row r="33" spans="1:7" x14ac:dyDescent="0.25">
      <c r="A33" s="1"/>
      <c r="B33" s="158" t="s">
        <v>102</v>
      </c>
      <c r="C33" s="159"/>
      <c r="D33" s="160"/>
      <c r="E33" s="9">
        <v>4</v>
      </c>
      <c r="F33" s="14" t="s">
        <v>20</v>
      </c>
      <c r="G33" s="1"/>
    </row>
    <row r="34" spans="1:7" x14ac:dyDescent="0.25">
      <c r="A34" s="1"/>
      <c r="B34" s="161" t="s">
        <v>144</v>
      </c>
      <c r="C34" s="161"/>
      <c r="D34" s="161"/>
      <c r="E34" s="73">
        <f>E32/E33</f>
        <v>-1408481.0518775014</v>
      </c>
      <c r="F34" s="17" t="s">
        <v>3</v>
      </c>
      <c r="G34" s="1"/>
    </row>
    <row r="35" spans="1:7" x14ac:dyDescent="0.25">
      <c r="A35" s="1"/>
      <c r="B35" s="162"/>
      <c r="C35" s="163"/>
      <c r="D35" s="163"/>
      <c r="E35" s="163"/>
      <c r="F35" s="16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Iq0l3L4g6TQZEjbGTdvOZZ/a4gLTjemItRCizKiZP+JmSiBNcOOAq60rpWc5QPYR2U5Bzf2s8nT7DPgBQCCzNA==" saltValue="26X1FGfb+CMKMuISlB2RGw=="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6" t="s">
        <v>250</v>
      </c>
      <c r="C3" s="126"/>
      <c r="D3" s="126"/>
      <c r="E3" s="126"/>
      <c r="F3" s="126"/>
      <c r="G3" s="126"/>
      <c r="H3" s="126"/>
      <c r="I3" s="1"/>
    </row>
    <row r="4" spans="1:9" ht="15" customHeight="1" x14ac:dyDescent="0.25">
      <c r="A4" s="1"/>
      <c r="B4" s="126"/>
      <c r="C4" s="126"/>
      <c r="D4" s="126"/>
      <c r="E4" s="126"/>
      <c r="F4" s="126"/>
      <c r="G4" s="126"/>
      <c r="H4" s="12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8" t="s">
        <v>262</v>
      </c>
      <c r="C8" s="139"/>
      <c r="D8" s="139"/>
      <c r="E8" s="139"/>
      <c r="F8" s="139"/>
      <c r="G8" s="139"/>
      <c r="H8" s="140"/>
      <c r="I8" s="1"/>
    </row>
    <row r="9" spans="1:9" ht="15" customHeight="1" x14ac:dyDescent="0.25">
      <c r="A9" s="1"/>
      <c r="B9" s="135" t="s">
        <v>251</v>
      </c>
      <c r="C9" s="136"/>
      <c r="D9" s="136"/>
      <c r="E9" s="136"/>
      <c r="F9" s="136"/>
      <c r="G9" s="136"/>
      <c r="H9" s="137"/>
      <c r="I9" s="1"/>
    </row>
    <row r="10" spans="1:9" x14ac:dyDescent="0.25">
      <c r="A10" s="1"/>
      <c r="B10" s="166" t="s">
        <v>272</v>
      </c>
      <c r="C10" s="167"/>
      <c r="D10" s="167"/>
      <c r="E10" s="167"/>
      <c r="F10" s="168"/>
      <c r="G10" s="9">
        <v>0</v>
      </c>
      <c r="H10" s="9" t="s">
        <v>3</v>
      </c>
      <c r="I10" s="1"/>
    </row>
    <row r="11" spans="1:9" x14ac:dyDescent="0.25">
      <c r="A11" s="1"/>
      <c r="B11" s="166" t="s">
        <v>273</v>
      </c>
      <c r="C11" s="167"/>
      <c r="D11" s="167"/>
      <c r="E11" s="167"/>
      <c r="F11" s="168"/>
      <c r="G11" s="9">
        <v>0</v>
      </c>
      <c r="H11" s="9" t="s">
        <v>3</v>
      </c>
      <c r="I11" s="1"/>
    </row>
    <row r="12" spans="1:9" x14ac:dyDescent="0.25">
      <c r="A12" s="1"/>
      <c r="B12" s="166" t="s">
        <v>274</v>
      </c>
      <c r="C12" s="167"/>
      <c r="D12" s="167"/>
      <c r="E12" s="167"/>
      <c r="F12" s="168"/>
      <c r="G12" s="9">
        <v>0</v>
      </c>
      <c r="H12" s="9" t="s">
        <v>3</v>
      </c>
      <c r="I12" s="1"/>
    </row>
    <row r="13" spans="1:9" x14ac:dyDescent="0.25">
      <c r="A13" s="1"/>
      <c r="B13" s="166" t="s">
        <v>275</v>
      </c>
      <c r="C13" s="167"/>
      <c r="D13" s="167"/>
      <c r="E13" s="167"/>
      <c r="F13" s="168"/>
      <c r="G13" s="9">
        <v>0</v>
      </c>
      <c r="H13" s="9" t="s">
        <v>3</v>
      </c>
      <c r="I13" s="1"/>
    </row>
    <row r="14" spans="1:9" x14ac:dyDescent="0.25">
      <c r="A14" s="1"/>
      <c r="B14" s="166" t="s">
        <v>276</v>
      </c>
      <c r="C14" s="167"/>
      <c r="D14" s="167"/>
      <c r="E14" s="167"/>
      <c r="F14" s="168"/>
      <c r="G14" s="9">
        <v>0</v>
      </c>
      <c r="H14" s="9" t="s">
        <v>3</v>
      </c>
      <c r="I14" s="1"/>
    </row>
    <row r="15" spans="1:9" x14ac:dyDescent="0.25">
      <c r="A15" s="1"/>
      <c r="B15" s="166" t="s">
        <v>277</v>
      </c>
      <c r="C15" s="167"/>
      <c r="D15" s="167"/>
      <c r="E15" s="167"/>
      <c r="F15" s="168"/>
      <c r="G15" s="9">
        <v>0</v>
      </c>
      <c r="H15" s="9" t="s">
        <v>3</v>
      </c>
      <c r="I15" s="1"/>
    </row>
    <row r="16" spans="1:9" x14ac:dyDescent="0.25">
      <c r="A16" s="1"/>
      <c r="B16" s="166" t="s">
        <v>278</v>
      </c>
      <c r="C16" s="167"/>
      <c r="D16" s="167"/>
      <c r="E16" s="167"/>
      <c r="F16" s="168"/>
      <c r="G16" s="9">
        <v>0</v>
      </c>
      <c r="H16" s="9" t="s">
        <v>3</v>
      </c>
      <c r="I16" s="1"/>
    </row>
    <row r="17" spans="1:9" x14ac:dyDescent="0.25">
      <c r="A17" s="1"/>
      <c r="B17" s="166" t="s">
        <v>279</v>
      </c>
      <c r="C17" s="167"/>
      <c r="D17" s="167"/>
      <c r="E17" s="167"/>
      <c r="F17" s="168"/>
      <c r="G17" s="9">
        <v>0</v>
      </c>
      <c r="H17" s="9" t="s">
        <v>3</v>
      </c>
      <c r="I17" s="1"/>
    </row>
    <row r="18" spans="1:9" x14ac:dyDescent="0.25">
      <c r="A18" s="1"/>
      <c r="B18" s="138" t="s">
        <v>252</v>
      </c>
      <c r="C18" s="139"/>
      <c r="D18" s="139"/>
      <c r="E18" s="139"/>
      <c r="F18" s="14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SikCGJ/hKyjejgM5LQwy9fnu3Y0/IwhGUKsgrHYYN+zp/mFlm+h1BZQnNERt6q5/EwHQLa/4JH/nEbsU71yj7g==" saltValue="tZAelRbLlIo7MoalbQw27Q=="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1" t="s">
        <v>254</v>
      </c>
      <c r="C3" s="131"/>
      <c r="D3" s="131"/>
      <c r="E3" s="131"/>
      <c r="F3" s="131"/>
      <c r="G3" s="1"/>
    </row>
    <row r="4" spans="1:7" ht="1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8" t="s">
        <v>208</v>
      </c>
      <c r="C9" s="139"/>
      <c r="D9" s="139"/>
      <c r="E9" s="139"/>
      <c r="F9" s="140"/>
      <c r="G9" s="1"/>
    </row>
    <row r="10" spans="1:7" x14ac:dyDescent="0.25">
      <c r="A10" s="1"/>
      <c r="B10" s="128" t="s">
        <v>100</v>
      </c>
      <c r="C10" s="129"/>
      <c r="D10" s="130"/>
      <c r="E10" s="7">
        <v>0</v>
      </c>
      <c r="F10" s="8" t="s">
        <v>3</v>
      </c>
      <c r="G10" s="1"/>
    </row>
    <row r="11" spans="1:7" x14ac:dyDescent="0.25">
      <c r="A11" s="1"/>
      <c r="B11" s="143" t="s">
        <v>209</v>
      </c>
      <c r="C11" s="144"/>
      <c r="D11" s="145"/>
      <c r="E11" s="7">
        <v>0</v>
      </c>
      <c r="F11" s="8" t="s">
        <v>3</v>
      </c>
      <c r="G11" s="1"/>
    </row>
    <row r="12" spans="1:7" x14ac:dyDescent="0.25">
      <c r="A12" s="1"/>
      <c r="B12" s="141" t="s">
        <v>101</v>
      </c>
      <c r="C12" s="142"/>
      <c r="D12" s="165"/>
      <c r="E12" s="10">
        <f>E11-E10</f>
        <v>0</v>
      </c>
      <c r="F12" s="11" t="s">
        <v>3</v>
      </c>
      <c r="G12" s="1"/>
    </row>
    <row r="13" spans="1:7" x14ac:dyDescent="0.25">
      <c r="A13" s="1"/>
      <c r="B13" s="138" t="s">
        <v>94</v>
      </c>
      <c r="C13" s="139"/>
      <c r="D13" s="139"/>
      <c r="E13" s="139"/>
      <c r="F13" s="140"/>
      <c r="G13" s="1"/>
    </row>
    <row r="14" spans="1:7" x14ac:dyDescent="0.25">
      <c r="A14" s="1"/>
      <c r="B14" s="143" t="s">
        <v>210</v>
      </c>
      <c r="C14" s="144"/>
      <c r="D14" s="145"/>
      <c r="E14" s="9">
        <v>16294</v>
      </c>
      <c r="F14" s="8" t="s">
        <v>3</v>
      </c>
      <c r="G14" s="1"/>
    </row>
    <row r="15" spans="1:7" x14ac:dyDescent="0.25">
      <c r="A15" s="1"/>
      <c r="B15" s="128" t="s">
        <v>211</v>
      </c>
      <c r="C15" s="129"/>
      <c r="D15" s="130"/>
      <c r="E15" s="9">
        <v>0</v>
      </c>
      <c r="F15" s="8" t="s">
        <v>3</v>
      </c>
      <c r="G15" s="1"/>
    </row>
    <row r="16" spans="1:7" x14ac:dyDescent="0.25">
      <c r="A16" s="1"/>
      <c r="B16" s="141" t="s">
        <v>101</v>
      </c>
      <c r="C16" s="142"/>
      <c r="D16" s="165"/>
      <c r="E16" s="10">
        <f>E15-E14</f>
        <v>-16294</v>
      </c>
      <c r="F16" s="11" t="s">
        <v>3</v>
      </c>
      <c r="G16" s="1"/>
    </row>
    <row r="17" spans="1:7" x14ac:dyDescent="0.25">
      <c r="A17" s="1"/>
      <c r="B17" s="32" t="s">
        <v>212</v>
      </c>
      <c r="C17" s="27"/>
      <c r="D17" s="27"/>
      <c r="E17" s="12">
        <f>E12+E16</f>
        <v>-16294</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XjTk1mfUfpcf8xtYn+nmVj+BC582mHqaYC+DJACFZEH4cRcBlGPMRCbwE4wbVpThJELMuXVYdS7u7O9A+MFZQ==" saltValue="cNWax4fWlp8IdXGTTHcGg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6" t="s">
        <v>255</v>
      </c>
      <c r="C3" s="126"/>
      <c r="D3" s="126"/>
      <c r="E3" s="126"/>
      <c r="F3" s="126"/>
      <c r="G3" s="126"/>
      <c r="H3" s="126"/>
      <c r="I3" s="126"/>
      <c r="J3" s="126"/>
      <c r="K3" s="126"/>
      <c r="L3" s="1"/>
    </row>
    <row r="4" spans="1:12" ht="15" customHeight="1" x14ac:dyDescent="0.25">
      <c r="A4" s="1"/>
      <c r="B4" s="126"/>
      <c r="C4" s="126"/>
      <c r="D4" s="126"/>
      <c r="E4" s="126"/>
      <c r="F4" s="126"/>
      <c r="G4" s="126"/>
      <c r="H4" s="126"/>
      <c r="I4" s="126"/>
      <c r="J4" s="126"/>
      <c r="K4" s="12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8" t="s">
        <v>219</v>
      </c>
      <c r="C8" s="139"/>
      <c r="D8" s="139"/>
      <c r="E8" s="139"/>
      <c r="F8" s="139"/>
      <c r="G8" s="139"/>
      <c r="H8" s="139"/>
      <c r="I8" s="139"/>
      <c r="J8" s="139"/>
      <c r="K8" s="140"/>
      <c r="L8" s="1"/>
    </row>
    <row r="9" spans="1:12" ht="39.75" customHeight="1" x14ac:dyDescent="0.25">
      <c r="A9" s="1"/>
      <c r="B9" s="18" t="s">
        <v>0</v>
      </c>
      <c r="C9" s="18" t="s">
        <v>1</v>
      </c>
      <c r="D9" s="169" t="s">
        <v>245</v>
      </c>
      <c r="E9" s="170"/>
      <c r="F9" s="169" t="s">
        <v>2</v>
      </c>
      <c r="G9" s="170"/>
      <c r="H9" s="169" t="s">
        <v>244</v>
      </c>
      <c r="I9" s="170"/>
      <c r="J9" s="169" t="s">
        <v>30</v>
      </c>
      <c r="K9" s="170"/>
      <c r="L9" s="1"/>
    </row>
    <row r="10" spans="1:12" x14ac:dyDescent="0.25">
      <c r="A10" s="1"/>
      <c r="B10" s="104" t="s">
        <v>280</v>
      </c>
      <c r="C10" s="41">
        <v>0</v>
      </c>
      <c r="D10" s="9">
        <v>0</v>
      </c>
      <c r="E10" s="14" t="s">
        <v>3</v>
      </c>
      <c r="F10" s="9">
        <f>IFERROR(D10/C10,0)</f>
        <v>0</v>
      </c>
      <c r="G10" s="14" t="s">
        <v>3</v>
      </c>
      <c r="H10" s="44">
        <v>0</v>
      </c>
      <c r="I10" s="14" t="s">
        <v>3</v>
      </c>
      <c r="J10" s="44">
        <v>0</v>
      </c>
      <c r="K10" s="14" t="s">
        <v>3</v>
      </c>
      <c r="L10" s="1"/>
    </row>
    <row r="11" spans="1:12" x14ac:dyDescent="0.25">
      <c r="A11" s="1"/>
      <c r="B11" s="97" t="s">
        <v>220</v>
      </c>
      <c r="C11" s="98"/>
      <c r="D11" s="99"/>
      <c r="E11" s="99"/>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0Sytq5RGs/ZiIZL274TLOoxb8A4aOznNQpISNOyLHDxJL6Q/f3zyNAD5eENC8pQJbn/t9NV1YVhHBMjeThP8kw==" saltValue="28k9FlDN5if6OIbgFEa2h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6" t="s">
        <v>256</v>
      </c>
      <c r="C3" s="126"/>
      <c r="D3" s="126"/>
      <c r="E3" s="126"/>
      <c r="F3" s="126"/>
      <c r="G3" s="1"/>
    </row>
    <row r="4" spans="1:7" ht="15" customHeight="1" x14ac:dyDescent="0.25">
      <c r="A4" s="1"/>
      <c r="B4" s="126"/>
      <c r="C4" s="126"/>
      <c r="D4" s="126"/>
      <c r="E4" s="126"/>
      <c r="F4" s="12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268</v>
      </c>
      <c r="C11" s="21">
        <v>96379</v>
      </c>
      <c r="D11" s="14" t="s">
        <v>3</v>
      </c>
      <c r="E11" s="9">
        <v>0</v>
      </c>
      <c r="F11" s="14" t="s">
        <v>3</v>
      </c>
      <c r="G11" s="1"/>
    </row>
    <row r="12" spans="1:7" x14ac:dyDescent="0.25">
      <c r="A12" s="1"/>
      <c r="B12" s="23" t="s">
        <v>269</v>
      </c>
      <c r="C12" s="21">
        <v>100</v>
      </c>
      <c r="D12" s="14" t="s">
        <v>3</v>
      </c>
      <c r="E12" s="9">
        <v>1646</v>
      </c>
      <c r="F12" s="14" t="s">
        <v>3</v>
      </c>
      <c r="G12" s="1"/>
    </row>
    <row r="13" spans="1:7" x14ac:dyDescent="0.25">
      <c r="A13" s="1"/>
      <c r="B13" s="23" t="s">
        <v>270</v>
      </c>
      <c r="C13" s="21">
        <v>28065</v>
      </c>
      <c r="D13" s="14" t="s">
        <v>3</v>
      </c>
      <c r="E13" s="9">
        <v>1685593</v>
      </c>
      <c r="F13" s="14" t="s">
        <v>3</v>
      </c>
      <c r="G13" s="1"/>
    </row>
    <row r="14" spans="1:7" x14ac:dyDescent="0.25">
      <c r="A14" s="1"/>
      <c r="B14" s="32" t="s">
        <v>156</v>
      </c>
      <c r="C14" s="12">
        <f>SUM(C10:C13)</f>
        <v>124544</v>
      </c>
      <c r="D14" s="13" t="s">
        <v>3</v>
      </c>
      <c r="E14" s="12">
        <f>SUM(E10:E13)</f>
        <v>1687239</v>
      </c>
      <c r="F14" s="13" t="s">
        <v>3</v>
      </c>
      <c r="G14" s="1"/>
    </row>
    <row r="15" spans="1:7" x14ac:dyDescent="0.25">
      <c r="A15" s="1"/>
      <c r="B15" s="32" t="s">
        <v>213</v>
      </c>
      <c r="C15" s="12">
        <f>C14*(1+'Fane 15. Nøgletal'!C15)</f>
        <v>128977.76640000001</v>
      </c>
      <c r="D15" s="13" t="s">
        <v>3</v>
      </c>
      <c r="E15" s="12">
        <f>E14*(1+'Fane 15. Nøgletal'!C15)</f>
        <v>1747304.7084000001</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9"/>
      <c r="B51" s="49"/>
      <c r="C51" s="49"/>
      <c r="D51" s="49"/>
      <c r="E51" s="49"/>
      <c r="F51" s="49"/>
      <c r="G51" s="49"/>
    </row>
  </sheetData>
  <sheetProtection algorithmName="SHA-512" hashValue="xzthjz/K0KlF1meowgu8lnDQN5gPwuHdWPdqp2mYspn8zDAY7f/0RdFsvI7a95OLDqKtA9/Elm59d9dbOzQSJA==" saltValue="bB7TxTKz/iCej/1iPMB14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6" t="s">
        <v>257</v>
      </c>
      <c r="C3" s="126"/>
      <c r="D3" s="126"/>
      <c r="E3" s="126"/>
      <c r="F3" s="126"/>
      <c r="G3" s="1"/>
    </row>
    <row r="4" spans="1:7" ht="15" customHeight="1" x14ac:dyDescent="0.25">
      <c r="A4" s="1"/>
      <c r="B4" s="126"/>
      <c r="C4" s="126"/>
      <c r="D4" s="126"/>
      <c r="E4" s="126"/>
      <c r="F4" s="12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8" t="s">
        <v>97</v>
      </c>
      <c r="C8" s="139"/>
      <c r="D8" s="139"/>
      <c r="E8" s="139"/>
      <c r="F8" s="140"/>
      <c r="G8" s="1"/>
    </row>
    <row r="9" spans="1:7" x14ac:dyDescent="0.25">
      <c r="A9" s="1"/>
      <c r="B9" s="83" t="s">
        <v>17</v>
      </c>
      <c r="C9" s="83" t="s">
        <v>11</v>
      </c>
      <c r="D9" s="84"/>
      <c r="E9" s="83" t="s">
        <v>31</v>
      </c>
      <c r="F9" s="31"/>
      <c r="G9" s="1"/>
    </row>
    <row r="10" spans="1:7" x14ac:dyDescent="0.25">
      <c r="A10" s="1"/>
      <c r="B10" s="23" t="s">
        <v>268</v>
      </c>
      <c r="C10" s="21">
        <v>2847351</v>
      </c>
      <c r="D10" s="14" t="s">
        <v>3</v>
      </c>
      <c r="E10" s="9">
        <v>0</v>
      </c>
      <c r="F10" s="14" t="s">
        <v>3</v>
      </c>
      <c r="G10" s="1"/>
    </row>
    <row r="11" spans="1:7" x14ac:dyDescent="0.25">
      <c r="A11" s="1"/>
      <c r="B11" s="32" t="s">
        <v>232</v>
      </c>
      <c r="C11" s="12">
        <f>SUM(C10:C10)</f>
        <v>2847351</v>
      </c>
      <c r="D11" s="13" t="s">
        <v>3</v>
      </c>
      <c r="E11" s="12">
        <f>SUM(E10:E10)</f>
        <v>0</v>
      </c>
      <c r="F11" s="13" t="s">
        <v>3</v>
      </c>
      <c r="G11" s="1"/>
    </row>
    <row r="12" spans="1:7" x14ac:dyDescent="0.25">
      <c r="A12" s="1"/>
      <c r="B12" s="32" t="s">
        <v>136</v>
      </c>
      <c r="C12" s="12">
        <f>C11*(1+'Fane 15. Nøgletal'!C15)^2</f>
        <v>3053691.0099633601</v>
      </c>
      <c r="D12" s="13" t="s">
        <v>3</v>
      </c>
      <c r="E12" s="12">
        <f>E11*(1+'Fane 15. Nøgletal'!C15)^2</f>
        <v>0</v>
      </c>
      <c r="F12" s="13" t="s">
        <v>3</v>
      </c>
      <c r="G12" s="1"/>
    </row>
    <row r="13" spans="1:7" x14ac:dyDescent="0.25">
      <c r="A13" s="1"/>
      <c r="B13" s="1"/>
      <c r="C13" s="1"/>
      <c r="D13" s="1"/>
      <c r="E13" s="1"/>
      <c r="F13" s="1"/>
      <c r="G13" s="1"/>
    </row>
    <row r="14" spans="1:7" x14ac:dyDescent="0.25">
      <c r="A14" s="1"/>
      <c r="B14" s="171"/>
      <c r="C14" s="171"/>
      <c r="D14" s="171"/>
      <c r="E14" s="171"/>
      <c r="F14" s="171"/>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71"/>
      <c r="C21" s="171"/>
      <c r="D21" s="171"/>
      <c r="E21" s="171"/>
      <c r="F21" s="171"/>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71"/>
      <c r="C28" s="171"/>
      <c r="D28" s="171"/>
      <c r="E28" s="171"/>
      <c r="F28" s="171"/>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4t+gEP0Fwozra4Vyb6G/GuFX75UpAWjsE+bNP/J60YLRrqcJlonn9TtHfaF9rQYoVr3IhZ4gX/hYiPC4PigunQ==" saltValue="pT44mki6XZxsdeLndPh+F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258</v>
      </c>
      <c r="C3" s="131"/>
      <c r="D3" s="131"/>
      <c r="E3" s="131"/>
      <c r="F3" s="131"/>
      <c r="G3" s="1"/>
    </row>
    <row r="4" spans="1:7" ht="15" customHeight="1" x14ac:dyDescent="0.25">
      <c r="A4" s="1"/>
      <c r="B4" s="131"/>
      <c r="C4" s="131"/>
      <c r="D4" s="131"/>
      <c r="E4" s="131"/>
      <c r="F4" s="131"/>
      <c r="G4" s="1"/>
    </row>
    <row r="5" spans="1:7" x14ac:dyDescent="0.25">
      <c r="A5" s="1"/>
      <c r="B5" s="131"/>
      <c r="C5" s="131"/>
      <c r="D5" s="131"/>
      <c r="E5" s="131"/>
      <c r="F5" s="13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8" t="s">
        <v>91</v>
      </c>
      <c r="C9" s="139"/>
      <c r="D9" s="139"/>
      <c r="E9" s="139"/>
      <c r="F9" s="140"/>
      <c r="G9" s="1"/>
    </row>
    <row r="10" spans="1:7" x14ac:dyDescent="0.25">
      <c r="A10" s="1"/>
      <c r="B10" s="166" t="s">
        <v>224</v>
      </c>
      <c r="C10" s="167"/>
      <c r="D10" s="168"/>
      <c r="E10" s="9">
        <v>0</v>
      </c>
      <c r="F10" s="14" t="s">
        <v>3</v>
      </c>
      <c r="G10" s="1"/>
    </row>
    <row r="11" spans="1:7" x14ac:dyDescent="0.25">
      <c r="A11" s="1"/>
      <c r="B11" s="132" t="s">
        <v>10</v>
      </c>
      <c r="C11" s="133"/>
      <c r="D11" s="134"/>
      <c r="E11" s="9">
        <f>-E10*'Fane 5. Individuelt eff. krav'!G9</f>
        <v>0</v>
      </c>
      <c r="F11" s="14" t="s">
        <v>3</v>
      </c>
      <c r="G11" s="1"/>
    </row>
    <row r="12" spans="1:7" x14ac:dyDescent="0.25">
      <c r="A12" s="1"/>
      <c r="B12" s="132" t="s">
        <v>24</v>
      </c>
      <c r="C12" s="133"/>
      <c r="D12" s="134"/>
      <c r="E12" s="9">
        <f>-E10*'Fane 15. Nøgletal'!C31</f>
        <v>0</v>
      </c>
      <c r="F12" s="14" t="s">
        <v>3</v>
      </c>
      <c r="G12" s="1"/>
    </row>
    <row r="13" spans="1:7" x14ac:dyDescent="0.25">
      <c r="A13" s="1"/>
      <c r="B13" s="138" t="s">
        <v>92</v>
      </c>
      <c r="C13" s="139"/>
      <c r="D13" s="140"/>
      <c r="E13" s="12">
        <f>SUM(E10:E12)*(1+'Fane 15. Nøgletal'!C15)^2</f>
        <v>0</v>
      </c>
      <c r="F13" s="13" t="s">
        <v>3</v>
      </c>
      <c r="G13" s="1"/>
    </row>
    <row r="14" spans="1:7" x14ac:dyDescent="0.25">
      <c r="A14" s="1"/>
      <c r="B14" s="1"/>
      <c r="C14" s="1"/>
      <c r="D14" s="1"/>
      <c r="E14" s="1"/>
      <c r="F14" s="1"/>
      <c r="G14" s="1"/>
    </row>
    <row r="15" spans="1:7" ht="15" customHeight="1" x14ac:dyDescent="0.25">
      <c r="A15" s="1"/>
      <c r="B15" s="138" t="s">
        <v>130</v>
      </c>
      <c r="C15" s="139"/>
      <c r="D15" s="139"/>
      <c r="E15" s="139"/>
      <c r="F15" s="140"/>
      <c r="G15" s="1"/>
    </row>
    <row r="16" spans="1:7" x14ac:dyDescent="0.25">
      <c r="A16" s="1"/>
      <c r="B16" s="166" t="s">
        <v>224</v>
      </c>
      <c r="C16" s="167"/>
      <c r="D16" s="168"/>
      <c r="E16" s="9">
        <v>0</v>
      </c>
      <c r="F16" s="14" t="s">
        <v>3</v>
      </c>
      <c r="G16" s="1"/>
    </row>
    <row r="17" spans="1:7" x14ac:dyDescent="0.25">
      <c r="A17" s="1"/>
      <c r="B17" s="132" t="s">
        <v>10</v>
      </c>
      <c r="C17" s="133"/>
      <c r="D17" s="134"/>
      <c r="E17" s="9">
        <f>-E16*'Fane 5. Individuelt eff. krav'!G9</f>
        <v>0</v>
      </c>
      <c r="F17" s="14" t="s">
        <v>3</v>
      </c>
      <c r="G17" s="1"/>
    </row>
    <row r="18" spans="1:7" x14ac:dyDescent="0.25">
      <c r="A18" s="1"/>
      <c r="B18" s="132" t="s">
        <v>24</v>
      </c>
      <c r="C18" s="133"/>
      <c r="D18" s="134"/>
      <c r="E18" s="9">
        <f>-E16*'Fane 15. Nøgletal'!C31</f>
        <v>0</v>
      </c>
      <c r="F18" s="14" t="s">
        <v>3</v>
      </c>
      <c r="G18" s="1"/>
    </row>
    <row r="19" spans="1:7" x14ac:dyDescent="0.25">
      <c r="A19" s="1"/>
      <c r="B19" s="138" t="s">
        <v>131</v>
      </c>
      <c r="C19" s="139"/>
      <c r="D19" s="140"/>
      <c r="E19" s="12">
        <f>SUM(E16:E18)*(1+'Fane 15. Nøgletal'!C15)^3</f>
        <v>0</v>
      </c>
      <c r="F19" s="13" t="s">
        <v>3</v>
      </c>
      <c r="G19" s="1"/>
    </row>
    <row r="20" spans="1:7" x14ac:dyDescent="0.25">
      <c r="A20" s="1"/>
      <c r="B20" s="1"/>
      <c r="C20" s="1"/>
      <c r="D20" s="1"/>
      <c r="E20" s="1"/>
      <c r="F20" s="1"/>
      <c r="G20" s="1"/>
    </row>
    <row r="21" spans="1:7" ht="15" customHeight="1" x14ac:dyDescent="0.25">
      <c r="A21" s="1"/>
      <c r="B21" s="138" t="s">
        <v>157</v>
      </c>
      <c r="C21" s="139"/>
      <c r="D21" s="139"/>
      <c r="E21" s="139"/>
      <c r="F21" s="140"/>
      <c r="G21" s="1"/>
    </row>
    <row r="22" spans="1:7" x14ac:dyDescent="0.25">
      <c r="A22" s="1"/>
      <c r="B22" s="166" t="s">
        <v>224</v>
      </c>
      <c r="C22" s="167"/>
      <c r="D22" s="168"/>
      <c r="E22" s="9">
        <v>0</v>
      </c>
      <c r="F22" s="14" t="s">
        <v>3</v>
      </c>
      <c r="G22" s="1"/>
    </row>
    <row r="23" spans="1:7" x14ac:dyDescent="0.25">
      <c r="A23" s="1"/>
      <c r="B23" s="132" t="s">
        <v>10</v>
      </c>
      <c r="C23" s="133"/>
      <c r="D23" s="134"/>
      <c r="E23" s="9">
        <f>-E22*'Fane 5. Individuelt eff. krav'!G9</f>
        <v>0</v>
      </c>
      <c r="F23" s="14" t="s">
        <v>3</v>
      </c>
      <c r="G23" s="1"/>
    </row>
    <row r="24" spans="1:7" x14ac:dyDescent="0.25">
      <c r="A24" s="1"/>
      <c r="B24" s="132" t="s">
        <v>24</v>
      </c>
      <c r="C24" s="133"/>
      <c r="D24" s="134"/>
      <c r="E24" s="9">
        <f>-E22*'Fane 15. Nøgletal'!C31</f>
        <v>0</v>
      </c>
      <c r="F24" s="14" t="s">
        <v>3</v>
      </c>
      <c r="G24" s="1"/>
    </row>
    <row r="25" spans="1:7" x14ac:dyDescent="0.25">
      <c r="A25" s="1"/>
      <c r="B25" s="138" t="s">
        <v>158</v>
      </c>
      <c r="C25" s="139"/>
      <c r="D25" s="140"/>
      <c r="E25" s="12">
        <f>SUM(E22:E24)*(1+'Fane 15. Nøgletal'!C15)^4</f>
        <v>0</v>
      </c>
      <c r="F25" s="13" t="s">
        <v>3</v>
      </c>
      <c r="G25" s="1"/>
    </row>
    <row r="26" spans="1:7" x14ac:dyDescent="0.25">
      <c r="A26" s="1"/>
      <c r="B26" s="1"/>
      <c r="C26" s="1"/>
      <c r="D26" s="1"/>
      <c r="E26" s="1"/>
      <c r="F26" s="1"/>
      <c r="G26" s="1"/>
    </row>
    <row r="27" spans="1:7" ht="15" customHeight="1" x14ac:dyDescent="0.25">
      <c r="A27" s="1"/>
      <c r="B27" s="138" t="s">
        <v>214</v>
      </c>
      <c r="C27" s="139"/>
      <c r="D27" s="139"/>
      <c r="E27" s="139"/>
      <c r="F27" s="140"/>
      <c r="G27" s="1"/>
    </row>
    <row r="28" spans="1:7" ht="14.25" customHeight="1" x14ac:dyDescent="0.25">
      <c r="A28" s="1"/>
      <c r="B28" s="166" t="s">
        <v>224</v>
      </c>
      <c r="C28" s="167"/>
      <c r="D28" s="168"/>
      <c r="E28" s="9">
        <v>0</v>
      </c>
      <c r="F28" s="14" t="s">
        <v>3</v>
      </c>
      <c r="G28" s="1"/>
    </row>
    <row r="29" spans="1:7" x14ac:dyDescent="0.25">
      <c r="A29" s="1"/>
      <c r="B29" s="132" t="s">
        <v>10</v>
      </c>
      <c r="C29" s="133"/>
      <c r="D29" s="134"/>
      <c r="E29" s="9">
        <f>-E28*'Fane 5. Individuelt eff. krav'!G9</f>
        <v>0</v>
      </c>
      <c r="F29" s="14" t="s">
        <v>3</v>
      </c>
      <c r="G29" s="1"/>
    </row>
    <row r="30" spans="1:7" x14ac:dyDescent="0.25">
      <c r="A30" s="1"/>
      <c r="B30" s="132" t="s">
        <v>24</v>
      </c>
      <c r="C30" s="133"/>
      <c r="D30" s="134"/>
      <c r="E30" s="9">
        <f>-E28*'Fane 15. Nøgletal'!C31</f>
        <v>0</v>
      </c>
      <c r="F30" s="14" t="s">
        <v>3</v>
      </c>
      <c r="G30" s="1"/>
    </row>
    <row r="31" spans="1:7" x14ac:dyDescent="0.25">
      <c r="A31" s="1"/>
      <c r="B31" s="138" t="s">
        <v>215</v>
      </c>
      <c r="C31" s="139"/>
      <c r="D31" s="140"/>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21PtyFcEZVZIUxIeY1wLoGf3j0sD0qXkZJwx8GkeP52VTxz/udJGZE2omG8V0tRyoW6U4AwjxvAkLiO1vGLow==" saltValue="4Y1MfBVrnoodzXH4HD0Gi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7109375" style="2" customWidth="1"/>
    <col min="2" max="2" width="41" style="2" customWidth="1"/>
    <col min="3" max="3" width="15.5703125" style="2" customWidth="1"/>
    <col min="4" max="4" width="3.28515625" style="2" customWidth="1"/>
    <col min="5" max="5" width="17.140625" style="2" customWidth="1"/>
    <col min="6" max="6" width="3.28515625" style="2" customWidth="1"/>
    <col min="7" max="7" width="2.71093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259</v>
      </c>
      <c r="C3" s="131"/>
      <c r="D3" s="131"/>
      <c r="E3" s="131"/>
      <c r="F3" s="131"/>
      <c r="G3" s="1"/>
    </row>
    <row r="4" spans="1:7" ht="25.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8" t="s">
        <v>132</v>
      </c>
      <c r="C8" s="139"/>
      <c r="D8" s="139"/>
      <c r="E8" s="139"/>
      <c r="F8" s="140"/>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Nc3Xn3RFs12AUiBiVFMv9zkW4HnFIsGcbjMECbeUWXZiadGAp80+DsIGe8gncKEJwseFH2sp6ASwDA8EnPzWw==" saltValue="vqTQtgMdgVoAB5Nu/BCoK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260</v>
      </c>
      <c r="C3" s="131"/>
      <c r="D3" s="131"/>
      <c r="E3" s="131"/>
      <c r="F3" s="131"/>
      <c r="G3" s="1"/>
    </row>
    <row r="4" spans="1:7" ht="25.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8" t="s">
        <v>93</v>
      </c>
      <c r="C9" s="139"/>
      <c r="D9" s="139"/>
      <c r="E9" s="139"/>
      <c r="F9" s="140"/>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1"/>
      <c r="C15" s="171"/>
      <c r="D15" s="171"/>
      <c r="E15" s="171"/>
      <c r="F15" s="171"/>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71"/>
      <c r="C21" s="171"/>
      <c r="D21" s="171"/>
      <c r="E21" s="171"/>
      <c r="F21" s="171"/>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71"/>
      <c r="C27" s="171"/>
      <c r="D27" s="171"/>
      <c r="E27" s="171"/>
      <c r="F27" s="171"/>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0SFvXEjxoZLHQRKq2+q4eDoFGebvRFxtBzVQmjN29RiM9fg3rpZoJs/OLJTKcL+Ti7jud1ykMLYa6XSMmxxBA==" saltValue="1wCfCV0Yk0gOA6/OEtIAE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6" t="s">
        <v>181</v>
      </c>
      <c r="C3" s="126"/>
      <c r="D3" s="126"/>
      <c r="E3" s="1"/>
    </row>
    <row r="4" spans="1:5" ht="15" customHeight="1" x14ac:dyDescent="0.25">
      <c r="A4" s="1"/>
      <c r="B4" s="126"/>
      <c r="C4" s="126"/>
      <c r="D4" s="12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20514433.107913304</v>
      </c>
      <c r="D9" s="8" t="s">
        <v>3</v>
      </c>
      <c r="E9" s="1"/>
    </row>
    <row r="10" spans="1:5" ht="17.25" customHeight="1" x14ac:dyDescent="0.25">
      <c r="A10" s="1"/>
      <c r="B10" s="82" t="s">
        <v>39</v>
      </c>
      <c r="C10" s="7">
        <f>'Fane 11.1. Varige tillæg'!C15</f>
        <v>128977.76640000001</v>
      </c>
      <c r="D10" s="8" t="s">
        <v>3</v>
      </c>
      <c r="E10" s="1"/>
    </row>
    <row r="11" spans="1:5" ht="17.25" customHeight="1" x14ac:dyDescent="0.25">
      <c r="A11" s="1"/>
      <c r="B11" s="82" t="s">
        <v>40</v>
      </c>
      <c r="C11" s="9">
        <f>'Fane 11.1. Varige tillæg'!E15</f>
        <v>1747304.7084000001</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134493.28535899392</v>
      </c>
      <c r="D16" s="8" t="s">
        <v>3</v>
      </c>
      <c r="E16" s="1"/>
    </row>
    <row r="17" spans="1:5" ht="17.25" customHeight="1" x14ac:dyDescent="0.25">
      <c r="A17" s="1"/>
      <c r="B17" s="82" t="s">
        <v>10</v>
      </c>
      <c r="C17" s="44">
        <f>-SUM(C9,C10:C16)*'Fane 5. Individuelt eff. krav'!G9</f>
        <v>-94425.697142869729</v>
      </c>
      <c r="D17" s="8" t="s">
        <v>3</v>
      </c>
      <c r="E17" s="1"/>
    </row>
    <row r="18" spans="1:5" ht="17.25" customHeight="1" x14ac:dyDescent="0.25">
      <c r="A18" s="1"/>
      <c r="B18" s="82" t="s">
        <v>24</v>
      </c>
      <c r="C18" s="44">
        <f>-'Fane 4.1. Gen. krav - drift'!G45</f>
        <v>-132695.37133283715</v>
      </c>
      <c r="D18" s="8" t="s">
        <v>3</v>
      </c>
      <c r="E18" s="1"/>
    </row>
    <row r="19" spans="1:5" ht="17.25" customHeight="1" x14ac:dyDescent="0.25">
      <c r="A19" s="1"/>
      <c r="B19" s="82" t="s">
        <v>25</v>
      </c>
      <c r="C19" s="44">
        <f>-'Fane 4.2. Gen. krav - anlæg'!G43</f>
        <v>-210359.79969722047</v>
      </c>
      <c r="D19" s="8" t="s">
        <v>3</v>
      </c>
      <c r="E19" s="48"/>
    </row>
    <row r="20" spans="1:5" ht="17.25" customHeight="1" x14ac:dyDescent="0.25">
      <c r="A20" s="1"/>
      <c r="B20" s="88" t="s">
        <v>21</v>
      </c>
      <c r="C20" s="10">
        <f>SUM(C9:C19)</f>
        <v>22087727.999899372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omk.'!C13+'Fane 6. Ikke-påvirkelige omk.'!C17+'Fane 6. Ikke-påvirkelige omk.'!C25</f>
        <v>14804778.812285243</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3053691.0099633601</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-73874.895836945885</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2979816.1141264141</v>
      </c>
      <c r="D30" s="11" t="s">
        <v>3</v>
      </c>
      <c r="E30" s="1"/>
    </row>
    <row r="31" spans="1:5" x14ac:dyDescent="0.25">
      <c r="A31" s="1"/>
      <c r="B31" s="32" t="s">
        <v>143</v>
      </c>
      <c r="C31" s="27"/>
      <c r="D31" s="19"/>
      <c r="E31" s="1"/>
    </row>
    <row r="32" spans="1:5" x14ac:dyDescent="0.25">
      <c r="A32" s="1"/>
      <c r="B32" s="30" t="s">
        <v>180</v>
      </c>
      <c r="C32" s="10">
        <f>'Fane 7. Kontrol af ØR2021'!E28</f>
        <v>-771161.59797885083</v>
      </c>
      <c r="D32" s="11" t="s">
        <v>3</v>
      </c>
      <c r="E32" s="1"/>
    </row>
    <row r="33" spans="1:5" ht="15" customHeight="1" x14ac:dyDescent="0.25">
      <c r="A33" s="1"/>
      <c r="B33" s="32" t="s">
        <v>185</v>
      </c>
      <c r="C33" s="27"/>
      <c r="D33" s="19"/>
      <c r="E33" s="1"/>
    </row>
    <row r="34" spans="1:5" x14ac:dyDescent="0.25">
      <c r="A34" s="1"/>
      <c r="B34" s="30" t="s">
        <v>185</v>
      </c>
      <c r="C34" s="10">
        <f>'Fane 9. Korrektion af ØR2021'!E17</f>
        <v>-16294</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39084867.328332178</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b9793un2JX+dYF8Le0y16VaHtSy00y3AaW93xf978chwUvTpLE7hdNx+7S4zivIpgHyip2iOBF4UWxb4GNAHw==" saltValue="fY7HX7Zcu6MHopLVCg71y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1" t="s">
        <v>261</v>
      </c>
      <c r="C3" s="131"/>
      <c r="D3" s="1"/>
    </row>
    <row r="4" spans="1:4" ht="25.5" customHeight="1" x14ac:dyDescent="0.25">
      <c r="A4" s="1"/>
      <c r="B4" s="131"/>
      <c r="C4" s="13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tLWxlajxaiC19g/MPDzk/emMHIHtMkewLHQlTHNO5okxGQL2Sw1yEIKo8JcswmnwD+waUIFPsB1IoCXrCIVCjw==" saltValue="8aryVpTxE1u1cjNfGhlVQ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4" style="2" customWidth="1"/>
    <col min="2" max="2" width="55.5703125" style="2" customWidth="1"/>
    <col min="3" max="3" width="15.7109375" style="2" customWidth="1"/>
    <col min="4" max="4" width="3.28515625" style="2" customWidth="1"/>
    <col min="5" max="5" width="3.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6" t="s">
        <v>186</v>
      </c>
      <c r="C3" s="126"/>
      <c r="D3" s="126"/>
      <c r="E3" s="1"/>
    </row>
    <row r="4" spans="1:5" ht="15" customHeight="1" x14ac:dyDescent="0.25">
      <c r="A4" s="1"/>
      <c r="B4" s="126"/>
      <c r="C4" s="126"/>
      <c r="D4" s="126"/>
      <c r="E4" s="1"/>
    </row>
    <row r="5" spans="1:5" x14ac:dyDescent="0.25">
      <c r="A5" s="1"/>
      <c r="B5" s="127" t="s">
        <v>22</v>
      </c>
      <c r="C5" s="127"/>
      <c r="D5" s="127"/>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22087727.999899372</v>
      </c>
      <c r="D9" s="8" t="s">
        <v>3</v>
      </c>
      <c r="E9" s="1"/>
    </row>
    <row r="10" spans="1:5" ht="15" customHeight="1" x14ac:dyDescent="0.25">
      <c r="A10" s="1"/>
      <c r="B10" s="25" t="s">
        <v>19</v>
      </c>
      <c r="C10" s="7">
        <f>SUM(C9:C9)*'Fane 15. Nøgletal'!C15</f>
        <v>786323.11679641763</v>
      </c>
      <c r="D10" s="8" t="s">
        <v>3</v>
      </c>
      <c r="E10" s="1"/>
    </row>
    <row r="11" spans="1:5" ht="15" customHeight="1" x14ac:dyDescent="0.25">
      <c r="A11" s="1"/>
      <c r="B11" s="25" t="s">
        <v>10</v>
      </c>
      <c r="C11" s="9">
        <f>-SUM(C9:C10)*'Fane 5. Individuelt eff. krav'!G9</f>
        <v>-95888.044183116232</v>
      </c>
      <c r="D11" s="8" t="s">
        <v>3</v>
      </c>
      <c r="E11" s="1"/>
    </row>
    <row r="12" spans="1:5" ht="15" customHeight="1" x14ac:dyDescent="0.25">
      <c r="A12" s="1"/>
      <c r="B12" s="25" t="s">
        <v>24</v>
      </c>
      <c r="C12" s="9">
        <f>-'Fane 4.1. Gen. krav - drift'!G53</f>
        <v>-134670.94002124044</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22643492.132491436</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Nøgletal'!C15)+'Fane 6. Ikke-påvirkelige omk.'!C18+'Fane 6. Ikke-påvirkelige omk.'!C26</f>
        <v>15331290.701684972</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-1408481.0518775014</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36566301.782298908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F16Qo2B5zwLrvty5aIn+BkLa5zTk1iaZIvo00jhnv79+chPAlliQdsR90EKVWeiKYZcQs/brTNwxjafLbattBw==" saltValue="MrtAc9Q8TSZLxK5bmeCkr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6" t="s">
        <v>187</v>
      </c>
      <c r="C3" s="126"/>
      <c r="D3" s="126"/>
      <c r="E3" s="1"/>
    </row>
    <row r="4" spans="1:5" ht="15" customHeight="1" x14ac:dyDescent="0.25">
      <c r="A4" s="1"/>
      <c r="B4" s="126"/>
      <c r="C4" s="126"/>
      <c r="D4" s="126"/>
      <c r="E4" s="1"/>
    </row>
    <row r="5" spans="1:5" x14ac:dyDescent="0.25">
      <c r="A5" s="1"/>
      <c r="B5" s="127" t="s">
        <v>22</v>
      </c>
      <c r="C5" s="127"/>
      <c r="D5" s="127"/>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22643492.132491436</v>
      </c>
      <c r="D9" s="8" t="s">
        <v>3</v>
      </c>
      <c r="E9" s="1"/>
    </row>
    <row r="10" spans="1:5" ht="15" customHeight="1" x14ac:dyDescent="0.25">
      <c r="A10" s="1"/>
      <c r="B10" s="25" t="s">
        <v>19</v>
      </c>
      <c r="C10" s="7">
        <f>SUM(C9:C9)*'Fane 15. Nøgletal'!C15</f>
        <v>806108.31991669512</v>
      </c>
      <c r="D10" s="8" t="s">
        <v>3</v>
      </c>
      <c r="E10" s="1"/>
    </row>
    <row r="11" spans="1:5" ht="15" customHeight="1" x14ac:dyDescent="0.25">
      <c r="A11" s="1"/>
      <c r="B11" s="25" t="s">
        <v>10</v>
      </c>
      <c r="C11" s="9">
        <f>-SUM(C9:C10)*'Fane 5. Individuelt eff. krav'!G9</f>
        <v>-98300.747549511434</v>
      </c>
      <c r="D11" s="8" t="s">
        <v>3</v>
      </c>
      <c r="E11" s="1"/>
    </row>
    <row r="12" spans="1:5" ht="15" customHeight="1" x14ac:dyDescent="0.25">
      <c r="A12" s="1"/>
      <c r="B12" s="25" t="s">
        <v>24</v>
      </c>
      <c r="C12" s="9">
        <f>-'Fane 4.1. Gen. krav - drift'!G58</f>
        <v>-136675.92097627668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23214623.783882342</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Nøgletal'!C15)^2+'Fane 6. Ikke-påvirkelige omk.'!C19+'Fane 6. Ikke-påvirkelige omk.'!C27</f>
        <v>15876545.488403721</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-1408481.0518775014</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37682688.220408566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lBZBlBq1shq0goHEbfGxztIcn8swv4dVNQENp9qVD/qwQnWcnG+tg3cKfK9/rRC93pCpsvKojqBmlP6bC51bMg==" saltValue="qPInTY2RelLMPmQKTePq8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6" t="s">
        <v>188</v>
      </c>
      <c r="C3" s="126"/>
      <c r="D3" s="126"/>
      <c r="E3" s="1"/>
    </row>
    <row r="4" spans="1:5" ht="15" customHeight="1" x14ac:dyDescent="0.25">
      <c r="A4" s="1"/>
      <c r="B4" s="126"/>
      <c r="C4" s="126"/>
      <c r="D4" s="126"/>
      <c r="E4" s="1"/>
    </row>
    <row r="5" spans="1:5" x14ac:dyDescent="0.25">
      <c r="A5" s="1"/>
      <c r="B5" s="127" t="s">
        <v>22</v>
      </c>
      <c r="C5" s="127"/>
      <c r="D5" s="127"/>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23214623.783882342</v>
      </c>
      <c r="D9" s="8" t="s">
        <v>3</v>
      </c>
      <c r="E9" s="1"/>
    </row>
    <row r="10" spans="1:5" ht="15" customHeight="1" x14ac:dyDescent="0.25">
      <c r="A10" s="1"/>
      <c r="B10" s="25" t="s">
        <v>19</v>
      </c>
      <c r="C10" s="7">
        <f>SUM(C9:C9)*'Fane 15. Nøgletal'!C15</f>
        <v>826440.60670621134</v>
      </c>
      <c r="D10" s="8" t="s">
        <v>3</v>
      </c>
      <c r="E10" s="1"/>
    </row>
    <row r="11" spans="1:5" ht="15" customHeight="1" x14ac:dyDescent="0.25">
      <c r="A11" s="1"/>
      <c r="B11" s="25" t="s">
        <v>10</v>
      </c>
      <c r="C11" s="9">
        <f>-SUM(C9:C10)*'Fane 5. Individuelt eff. krav'!G9</f>
        <v>-100780.16494469109</v>
      </c>
      <c r="D11" s="8" t="s">
        <v>3</v>
      </c>
      <c r="E11" s="1"/>
    </row>
    <row r="12" spans="1:5" ht="15" customHeight="1" x14ac:dyDescent="0.25">
      <c r="A12" s="1"/>
      <c r="B12" s="25" t="s">
        <v>24</v>
      </c>
      <c r="C12" s="9">
        <f>-'Fane 4.1. Gen. krav - drift'!G63</f>
        <v>-138710.75208777151</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23801573.47355609</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Nøgletal'!C15)^3+'Fane 6. Ikke-påvirkelige omk.'!C20+'Fane 6. Ikke-påvirkelige omk.'!C28</f>
        <v>16427825.384810086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-1408481.0518775014</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38820917.806488678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88eTcgWQu7KYPAmeSSB3phWuUmE+SKKYj1gXaCaLoTAb7fyRwWYMBafPMNW5yo4wUvbk7qEpV7LUdsnMRvGz5Q==" saltValue="msfFg5kzhlbLBfY5eqe3g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191</v>
      </c>
      <c r="C3" s="131"/>
      <c r="D3" s="131"/>
      <c r="E3" s="131"/>
      <c r="F3" s="131"/>
      <c r="G3" s="1"/>
    </row>
    <row r="4" spans="1:7" ht="29.2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285</v>
      </c>
      <c r="C8" s="27"/>
      <c r="D8" s="27"/>
      <c r="E8" s="27"/>
      <c r="F8" s="19"/>
      <c r="G8" s="1"/>
    </row>
    <row r="9" spans="1:7" ht="15" customHeight="1" x14ac:dyDescent="0.25">
      <c r="A9" s="1"/>
      <c r="B9" s="128" t="s">
        <v>192</v>
      </c>
      <c r="C9" s="129"/>
      <c r="D9" s="130"/>
      <c r="E9" s="7">
        <v>20785686.259960901</v>
      </c>
      <c r="F9" s="8" t="s">
        <v>3</v>
      </c>
      <c r="G9" s="1"/>
    </row>
    <row r="10" spans="1:7" ht="15" customHeight="1" x14ac:dyDescent="0.25">
      <c r="A10" s="1"/>
      <c r="B10" s="132" t="s">
        <v>39</v>
      </c>
      <c r="C10" s="133"/>
      <c r="D10" s="134"/>
      <c r="E10" s="7">
        <v>41223.590400000001</v>
      </c>
      <c r="F10" s="8" t="s">
        <v>3</v>
      </c>
      <c r="G10" s="1"/>
    </row>
    <row r="11" spans="1:7" ht="15" customHeight="1" x14ac:dyDescent="0.25">
      <c r="A11" s="1"/>
      <c r="B11" s="132" t="s">
        <v>40</v>
      </c>
      <c r="C11" s="133"/>
      <c r="D11" s="134"/>
      <c r="E11" s="9">
        <v>51494.372500000005</v>
      </c>
      <c r="F11" s="8" t="s">
        <v>3</v>
      </c>
      <c r="G11" s="1"/>
    </row>
    <row r="12" spans="1:7" ht="15" customHeight="1" x14ac:dyDescent="0.25">
      <c r="A12" s="1"/>
      <c r="B12" s="132" t="s">
        <v>27</v>
      </c>
      <c r="C12" s="133"/>
      <c r="D12" s="134"/>
      <c r="E12" s="9">
        <v>0</v>
      </c>
      <c r="F12" s="8" t="s">
        <v>3</v>
      </c>
      <c r="G12" s="1"/>
    </row>
    <row r="13" spans="1:7" ht="15" customHeight="1" x14ac:dyDescent="0.25">
      <c r="A13" s="1"/>
      <c r="B13" s="128" t="s">
        <v>26</v>
      </c>
      <c r="C13" s="129"/>
      <c r="D13" s="130"/>
      <c r="E13" s="9">
        <v>0</v>
      </c>
      <c r="F13" s="8" t="s">
        <v>3</v>
      </c>
      <c r="G13" s="1"/>
    </row>
    <row r="14" spans="1:7" ht="15" customHeight="1" x14ac:dyDescent="0.25">
      <c r="A14" s="1"/>
      <c r="B14" s="128" t="s">
        <v>29</v>
      </c>
      <c r="C14" s="129"/>
      <c r="D14" s="130"/>
      <c r="E14" s="9">
        <v>0</v>
      </c>
      <c r="F14" s="8" t="s">
        <v>3</v>
      </c>
      <c r="G14" s="1"/>
    </row>
    <row r="15" spans="1:7" ht="15" customHeight="1" x14ac:dyDescent="0.25">
      <c r="A15" s="1"/>
      <c r="B15" s="128" t="s">
        <v>28</v>
      </c>
      <c r="C15" s="129"/>
      <c r="D15" s="130"/>
      <c r="E15" s="9">
        <v>0</v>
      </c>
      <c r="F15" s="8" t="s">
        <v>3</v>
      </c>
      <c r="G15" s="1"/>
    </row>
    <row r="16" spans="1:7" ht="15" customHeight="1" x14ac:dyDescent="0.25">
      <c r="A16" s="1"/>
      <c r="B16" s="128" t="s">
        <v>19</v>
      </c>
      <c r="C16" s="129"/>
      <c r="D16" s="130"/>
      <c r="E16" s="9">
        <f>SUM(E9:E15)*'Fane 15. Nøgletal'!C14</f>
        <v>68898.733935440963</v>
      </c>
      <c r="F16" s="8" t="s">
        <v>3</v>
      </c>
      <c r="G16" s="1"/>
    </row>
    <row r="17" spans="1:7" ht="15" customHeight="1" x14ac:dyDescent="0.25">
      <c r="A17" s="1"/>
      <c r="B17" s="128" t="s">
        <v>10</v>
      </c>
      <c r="C17" s="129"/>
      <c r="D17" s="130"/>
      <c r="E17" s="9">
        <v>-87811.114051954384</v>
      </c>
      <c r="F17" s="8" t="s">
        <v>3</v>
      </c>
      <c r="G17" s="1"/>
    </row>
    <row r="18" spans="1:7" ht="15" customHeight="1" x14ac:dyDescent="0.25">
      <c r="A18" s="1"/>
      <c r="B18" s="128" t="s">
        <v>24</v>
      </c>
      <c r="C18" s="129"/>
      <c r="D18" s="130"/>
      <c r="E18" s="9">
        <f>-'Fane 4.1. Gen. krav - drift'!G39</f>
        <v>-132241.13876774028</v>
      </c>
      <c r="F18" s="8" t="s">
        <v>3</v>
      </c>
      <c r="G18" s="1"/>
    </row>
    <row r="19" spans="1:7" ht="15" customHeight="1" x14ac:dyDescent="0.25">
      <c r="A19" s="1"/>
      <c r="B19" s="128" t="s">
        <v>25</v>
      </c>
      <c r="C19" s="129"/>
      <c r="D19" s="130"/>
      <c r="E19" s="9">
        <f>-'Fane 4.2. Gen. krav - anlæg'!G37</f>
        <v>-212817.59606334061</v>
      </c>
      <c r="F19" s="8" t="s">
        <v>3</v>
      </c>
      <c r="G19" s="1"/>
    </row>
    <row r="20" spans="1:7" ht="15" customHeight="1" x14ac:dyDescent="0.25">
      <c r="A20" s="1"/>
      <c r="B20" s="54" t="s">
        <v>21</v>
      </c>
      <c r="C20" s="101"/>
      <c r="D20" s="103"/>
      <c r="E20" s="51">
        <f>SUM(E9:E19)</f>
        <v>20514433.107913304</v>
      </c>
      <c r="F20" s="53" t="s">
        <v>3</v>
      </c>
      <c r="G20" s="1"/>
    </row>
    <row r="21" spans="1:7" ht="15" customHeight="1" x14ac:dyDescent="0.25">
      <c r="A21" s="1"/>
      <c r="B21" s="32" t="s">
        <v>12</v>
      </c>
      <c r="C21" s="27"/>
      <c r="D21" s="27"/>
      <c r="E21" s="27"/>
      <c r="F21" s="19"/>
      <c r="G21" s="1"/>
    </row>
    <row r="22" spans="1:7" ht="15" customHeight="1" x14ac:dyDescent="0.25">
      <c r="A22" s="1"/>
      <c r="B22" s="135" t="s">
        <v>12</v>
      </c>
      <c r="C22" s="136"/>
      <c r="D22" s="137"/>
      <c r="E22" s="10">
        <v>12504139.306442212</v>
      </c>
      <c r="F22" s="11" t="s">
        <v>3</v>
      </c>
      <c r="G22" s="1"/>
    </row>
    <row r="23" spans="1:7" ht="15" customHeight="1" x14ac:dyDescent="0.25">
      <c r="A23" s="1"/>
      <c r="B23" s="138" t="s">
        <v>86</v>
      </c>
      <c r="C23" s="139"/>
      <c r="D23" s="140"/>
      <c r="E23" s="27"/>
      <c r="F23" s="19"/>
      <c r="G23" s="1"/>
    </row>
    <row r="24" spans="1:7" ht="15" customHeight="1" x14ac:dyDescent="0.25">
      <c r="A24" s="1"/>
      <c r="B24" s="100" t="s">
        <v>86</v>
      </c>
      <c r="C24" s="37"/>
      <c r="D24" s="38"/>
      <c r="E24" s="10">
        <v>0</v>
      </c>
      <c r="F24" s="11" t="s">
        <v>3</v>
      </c>
      <c r="G24" s="1"/>
    </row>
    <row r="25" spans="1:7" x14ac:dyDescent="0.25">
      <c r="A25" s="1"/>
      <c r="B25" s="32" t="s">
        <v>85</v>
      </c>
      <c r="C25" s="27"/>
      <c r="D25" s="27"/>
      <c r="E25" s="27"/>
      <c r="F25" s="19"/>
      <c r="G25" s="1"/>
    </row>
    <row r="26" spans="1:7" ht="15" customHeight="1" x14ac:dyDescent="0.25">
      <c r="A26" s="1"/>
      <c r="B26" s="132" t="s">
        <v>81</v>
      </c>
      <c r="C26" s="133"/>
      <c r="D26" s="134"/>
      <c r="E26" s="9">
        <v>2084636.4002735987</v>
      </c>
      <c r="F26" s="8" t="s">
        <v>3</v>
      </c>
      <c r="G26" s="1"/>
    </row>
    <row r="27" spans="1:7" ht="15" customHeight="1" x14ac:dyDescent="0.25">
      <c r="A27" s="1"/>
      <c r="B27" s="132" t="s">
        <v>82</v>
      </c>
      <c r="C27" s="133"/>
      <c r="D27" s="133"/>
      <c r="E27" s="9">
        <v>0</v>
      </c>
      <c r="F27" s="8" t="s">
        <v>3</v>
      </c>
      <c r="G27" s="1"/>
    </row>
    <row r="28" spans="1:7" ht="15" customHeight="1" x14ac:dyDescent="0.25">
      <c r="A28" s="1"/>
      <c r="B28" s="141" t="s">
        <v>87</v>
      </c>
      <c r="C28" s="142"/>
      <c r="D28" s="142"/>
      <c r="E28" s="39">
        <f>SUM(E26:E27)</f>
        <v>2084636.4002735987</v>
      </c>
      <c r="F28" s="11" t="s">
        <v>3</v>
      </c>
      <c r="G28" s="1"/>
    </row>
    <row r="29" spans="1:7" ht="15" customHeight="1" x14ac:dyDescent="0.25">
      <c r="A29" s="1"/>
      <c r="B29" s="32" t="s">
        <v>143</v>
      </c>
      <c r="C29" s="32"/>
      <c r="D29" s="32"/>
      <c r="E29" s="27"/>
      <c r="F29" s="19"/>
      <c r="G29" s="1"/>
    </row>
    <row r="30" spans="1:7" ht="15" customHeight="1" x14ac:dyDescent="0.25">
      <c r="A30" s="1"/>
      <c r="B30" s="135" t="s">
        <v>142</v>
      </c>
      <c r="C30" s="136"/>
      <c r="D30" s="136"/>
      <c r="E30" s="39">
        <v>-771161.59797885083</v>
      </c>
      <c r="F30" s="11" t="s">
        <v>3</v>
      </c>
      <c r="G30" s="1"/>
    </row>
    <row r="31" spans="1:7" x14ac:dyDescent="0.25">
      <c r="A31" s="1"/>
      <c r="B31" s="32" t="s">
        <v>123</v>
      </c>
      <c r="C31" s="27"/>
      <c r="D31" s="27"/>
      <c r="E31" s="27"/>
      <c r="F31" s="19"/>
      <c r="G31" s="1"/>
    </row>
    <row r="32" spans="1:7" ht="15.4" customHeight="1" x14ac:dyDescent="0.25">
      <c r="A32" s="1"/>
      <c r="B32" s="135" t="s">
        <v>123</v>
      </c>
      <c r="C32" s="136"/>
      <c r="D32" s="137"/>
      <c r="E32" s="10">
        <v>-52</v>
      </c>
      <c r="F32" s="11" t="s">
        <v>3</v>
      </c>
      <c r="G32" s="1"/>
    </row>
    <row r="33" spans="1:7" ht="15.4" customHeight="1" x14ac:dyDescent="0.25">
      <c r="A33" s="1"/>
      <c r="B33" s="138" t="s">
        <v>175</v>
      </c>
      <c r="C33" s="139"/>
      <c r="D33" s="139"/>
      <c r="E33" s="139"/>
      <c r="F33" s="140"/>
      <c r="G33" s="1"/>
    </row>
    <row r="34" spans="1:7" ht="15.4" customHeight="1" x14ac:dyDescent="0.25">
      <c r="A34" s="1"/>
      <c r="B34" s="102" t="s">
        <v>176</v>
      </c>
      <c r="C34" s="10"/>
      <c r="D34" s="11"/>
      <c r="E34" s="10">
        <f>'Fane 8. Skattesagen'!G11</f>
        <v>0</v>
      </c>
      <c r="F34" s="11" t="s">
        <v>3</v>
      </c>
      <c r="G34" s="1"/>
    </row>
    <row r="35" spans="1:7" x14ac:dyDescent="0.25">
      <c r="A35" s="1"/>
      <c r="B35" s="55" t="s">
        <v>218</v>
      </c>
      <c r="C35" s="56"/>
      <c r="D35" s="19"/>
      <c r="E35" s="45">
        <f>SUM(E32,E30,E28,E24,E22,E20,E34)</f>
        <v>34331995.216650262</v>
      </c>
      <c r="F35" s="52" t="s">
        <v>3</v>
      </c>
      <c r="G35" s="1"/>
    </row>
    <row r="36" spans="1:7" ht="27" customHeight="1" x14ac:dyDescent="0.25">
      <c r="A36" s="1"/>
      <c r="B36" s="128" t="s">
        <v>222</v>
      </c>
      <c r="C36" s="129"/>
      <c r="D36" s="129"/>
      <c r="E36" s="129"/>
      <c r="F36" s="130"/>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mJuea141lBuaRpkoTA4EfgMysrj+0L3fpWAHT+ecGPwe8pthyFXnsNXEb+uPqBhmQpkWxYDk9ByaSQpDKzdLyw==" saltValue="1C/Hdi6fcJUsmaK9cC5Cz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42578125" style="2" customWidth="1"/>
    <col min="2" max="5" width="9.140625" style="2"/>
    <col min="6" max="6" width="25.28515625" style="2" customWidth="1"/>
    <col min="7" max="7" width="16.28515625" style="2" customWidth="1"/>
    <col min="8" max="8" width="3.42578125" style="2" customWidth="1"/>
    <col min="9" max="9" width="2.28515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1" t="s">
        <v>109</v>
      </c>
      <c r="C2" s="131"/>
      <c r="D2" s="131"/>
      <c r="E2" s="131"/>
      <c r="F2" s="131"/>
      <c r="G2" s="131"/>
      <c r="H2" s="131"/>
      <c r="I2" s="1"/>
    </row>
    <row r="3" spans="1:9" ht="28.5" customHeight="1" x14ac:dyDescent="0.25">
      <c r="A3" s="1"/>
      <c r="B3" s="131"/>
      <c r="C3" s="131"/>
      <c r="D3" s="131"/>
      <c r="E3" s="131"/>
      <c r="F3" s="131"/>
      <c r="G3" s="131"/>
      <c r="H3" s="131"/>
      <c r="I3" s="1"/>
    </row>
    <row r="4" spans="1:9" x14ac:dyDescent="0.25">
      <c r="A4" s="1"/>
      <c r="B4" s="138" t="s">
        <v>52</v>
      </c>
      <c r="C4" s="139"/>
      <c r="D4" s="139"/>
      <c r="E4" s="139"/>
      <c r="F4" s="139"/>
      <c r="G4" s="139"/>
      <c r="H4" s="140"/>
      <c r="I4" s="1"/>
    </row>
    <row r="5" spans="1:9" x14ac:dyDescent="0.25">
      <c r="A5" s="1"/>
      <c r="B5" s="143" t="s">
        <v>41</v>
      </c>
      <c r="C5" s="144"/>
      <c r="D5" s="144"/>
      <c r="E5" s="144"/>
      <c r="F5" s="145"/>
      <c r="G5" s="76">
        <v>6595718.8470146842</v>
      </c>
      <c r="H5" s="14" t="s">
        <v>3</v>
      </c>
      <c r="I5" s="1"/>
    </row>
    <row r="6" spans="1:9" x14ac:dyDescent="0.25">
      <c r="A6" s="1"/>
      <c r="B6" s="128" t="s">
        <v>120</v>
      </c>
      <c r="C6" s="129"/>
      <c r="D6" s="129"/>
      <c r="E6" s="129"/>
      <c r="F6" s="130"/>
      <c r="G6" s="77">
        <v>0</v>
      </c>
      <c r="H6" s="14" t="s">
        <v>3</v>
      </c>
      <c r="I6" s="1"/>
    </row>
    <row r="7" spans="1:9" x14ac:dyDescent="0.25">
      <c r="A7" s="1"/>
      <c r="B7" s="143" t="s">
        <v>42</v>
      </c>
      <c r="C7" s="144"/>
      <c r="D7" s="144"/>
      <c r="E7" s="144"/>
      <c r="F7" s="145"/>
      <c r="G7" s="76">
        <f>SUM(G5:G6)*'Fane 15. Nøgletal'!C31</f>
        <v>131914.37694029367</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8" t="s">
        <v>53</v>
      </c>
      <c r="C10" s="139"/>
      <c r="D10" s="139"/>
      <c r="E10" s="139"/>
      <c r="F10" s="139"/>
      <c r="G10" s="146"/>
      <c r="H10" s="140"/>
      <c r="I10" s="1"/>
    </row>
    <row r="11" spans="1:9" x14ac:dyDescent="0.25">
      <c r="A11" s="1"/>
      <c r="B11" s="143" t="s">
        <v>43</v>
      </c>
      <c r="C11" s="144"/>
      <c r="D11" s="144"/>
      <c r="E11" s="144"/>
      <c r="F11" s="145"/>
      <c r="G11" s="76">
        <f>(G5-G7)*(1+'Fane 15. Nøgletal'!C10)</f>
        <v>6576921.0483006937</v>
      </c>
      <c r="H11" s="14" t="s">
        <v>3</v>
      </c>
      <c r="I11" s="1"/>
    </row>
    <row r="12" spans="1:9" ht="15" customHeight="1" x14ac:dyDescent="0.25">
      <c r="A12" s="1"/>
      <c r="B12" s="143" t="s">
        <v>121</v>
      </c>
      <c r="C12" s="144"/>
      <c r="D12" s="144"/>
      <c r="E12" s="144"/>
      <c r="F12" s="145"/>
      <c r="G12" s="77">
        <v>-16851.133091707863</v>
      </c>
      <c r="H12" s="14" t="s">
        <v>3</v>
      </c>
      <c r="I12" s="1"/>
    </row>
    <row r="13" spans="1:9" x14ac:dyDescent="0.25">
      <c r="A13" s="1"/>
      <c r="B13" s="128" t="s">
        <v>118</v>
      </c>
      <c r="C13" s="129"/>
      <c r="D13" s="129"/>
      <c r="E13" s="129"/>
      <c r="F13" s="130"/>
      <c r="G13" s="77">
        <v>0</v>
      </c>
      <c r="H13" s="14" t="s">
        <v>3</v>
      </c>
      <c r="I13" s="1"/>
    </row>
    <row r="14" spans="1:9" x14ac:dyDescent="0.25">
      <c r="A14" s="1"/>
      <c r="B14" s="150" t="s">
        <v>44</v>
      </c>
      <c r="C14" s="151"/>
      <c r="D14" s="151"/>
      <c r="E14" s="151"/>
      <c r="F14" s="152"/>
      <c r="G14" s="77">
        <v>0</v>
      </c>
      <c r="H14" s="14" t="s">
        <v>3</v>
      </c>
      <c r="I14" s="1"/>
    </row>
    <row r="15" spans="1:9" x14ac:dyDescent="0.25">
      <c r="A15" s="1"/>
      <c r="B15" s="143" t="s">
        <v>45</v>
      </c>
      <c r="C15" s="144"/>
      <c r="D15" s="144"/>
      <c r="E15" s="144"/>
      <c r="F15" s="145"/>
      <c r="G15" s="76">
        <f>SUM(G11:G14)*'Fane 15. Nøgletal'!C31</f>
        <v>131201.39830417972</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8" t="s">
        <v>54</v>
      </c>
      <c r="C18" s="139"/>
      <c r="D18" s="139"/>
      <c r="E18" s="139"/>
      <c r="F18" s="139"/>
      <c r="G18" s="146"/>
      <c r="H18" s="140"/>
      <c r="I18" s="1"/>
    </row>
    <row r="19" spans="1:9" x14ac:dyDescent="0.25">
      <c r="A19" s="1"/>
      <c r="B19" s="143" t="s">
        <v>46</v>
      </c>
      <c r="C19" s="144"/>
      <c r="D19" s="144"/>
      <c r="E19" s="144"/>
      <c r="F19" s="145"/>
      <c r="G19" s="76">
        <f>(SUM(G11:G12,G14)-(G15))*(1+'Fane 15. Nøgletal'!C10)</f>
        <v>6541373.7159506408</v>
      </c>
      <c r="H19" s="14" t="s">
        <v>3</v>
      </c>
      <c r="I19" s="1"/>
    </row>
    <row r="20" spans="1:9" x14ac:dyDescent="0.25">
      <c r="A20" s="1"/>
      <c r="B20" s="150" t="s">
        <v>47</v>
      </c>
      <c r="C20" s="151"/>
      <c r="D20" s="151"/>
      <c r="E20" s="151"/>
      <c r="F20" s="152"/>
      <c r="G20" s="77">
        <v>0</v>
      </c>
      <c r="H20" s="14" t="s">
        <v>3</v>
      </c>
      <c r="I20" s="1"/>
    </row>
    <row r="21" spans="1:9" x14ac:dyDescent="0.25">
      <c r="A21" s="1"/>
      <c r="B21" s="143" t="s">
        <v>48</v>
      </c>
      <c r="C21" s="144"/>
      <c r="D21" s="144"/>
      <c r="E21" s="144"/>
      <c r="F21" s="145"/>
      <c r="G21" s="76">
        <f>SUM(G19:G20)*'Fane 15. Nøgletal'!C31</f>
        <v>130827.47431901282</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8" t="s">
        <v>55</v>
      </c>
      <c r="C24" s="139"/>
      <c r="D24" s="139"/>
      <c r="E24" s="139"/>
      <c r="F24" s="139"/>
      <c r="G24" s="146"/>
      <c r="H24" s="140"/>
      <c r="I24" s="1"/>
    </row>
    <row r="25" spans="1:9" x14ac:dyDescent="0.25">
      <c r="A25" s="1"/>
      <c r="B25" s="143" t="s">
        <v>49</v>
      </c>
      <c r="C25" s="144"/>
      <c r="D25" s="144"/>
      <c r="E25" s="144"/>
      <c r="F25" s="145"/>
      <c r="G25" s="76">
        <f>(G19+G20-G21)*(1+'Fane 15. Nøgletal'!C12)</f>
        <v>6536834.0025917711</v>
      </c>
      <c r="H25" s="14" t="s">
        <v>3</v>
      </c>
      <c r="I25" s="1"/>
    </row>
    <row r="26" spans="1:9" x14ac:dyDescent="0.25">
      <c r="A26" s="1"/>
      <c r="B26" s="150" t="s">
        <v>50</v>
      </c>
      <c r="C26" s="151"/>
      <c r="D26" s="151"/>
      <c r="E26" s="151"/>
      <c r="F26" s="152"/>
      <c r="G26" s="77">
        <v>126947.72790810002</v>
      </c>
      <c r="H26" s="14" t="s">
        <v>3</v>
      </c>
      <c r="I26" s="1"/>
    </row>
    <row r="27" spans="1:9" x14ac:dyDescent="0.25">
      <c r="A27" s="1"/>
      <c r="B27" s="143" t="s">
        <v>51</v>
      </c>
      <c r="C27" s="144"/>
      <c r="D27" s="144"/>
      <c r="E27" s="144"/>
      <c r="F27" s="145"/>
      <c r="G27" s="76">
        <f>(G25+G26)*'Fane 15. Nøgletal'!C31</f>
        <v>133275.63460999742</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8" t="s">
        <v>58</v>
      </c>
      <c r="C30" s="139"/>
      <c r="D30" s="139"/>
      <c r="E30" s="139"/>
      <c r="F30" s="139"/>
      <c r="G30" s="146"/>
      <c r="H30" s="140"/>
      <c r="I30" s="1"/>
    </row>
    <row r="31" spans="1:9" x14ac:dyDescent="0.25">
      <c r="A31" s="1"/>
      <c r="B31" s="143" t="s">
        <v>59</v>
      </c>
      <c r="C31" s="144"/>
      <c r="D31" s="144"/>
      <c r="E31" s="144"/>
      <c r="F31" s="145"/>
      <c r="G31" s="76">
        <f>(G25+G26-G27)*(1+'Fane 15. Nøgletal'!C12)</f>
        <v>6659157.0659789043</v>
      </c>
      <c r="H31" s="14" t="s">
        <v>3</v>
      </c>
      <c r="I31" s="1"/>
    </row>
    <row r="32" spans="1:9" x14ac:dyDescent="0.25">
      <c r="A32" s="1"/>
      <c r="B32" s="143" t="s">
        <v>137</v>
      </c>
      <c r="C32" s="144"/>
      <c r="D32" s="144"/>
      <c r="E32" s="144"/>
      <c r="F32" s="145"/>
      <c r="G32" s="76">
        <v>23583.065199119999</v>
      </c>
      <c r="H32" s="14" t="s">
        <v>3</v>
      </c>
      <c r="I32" s="1"/>
    </row>
    <row r="33" spans="1:9" x14ac:dyDescent="0.25">
      <c r="A33" s="1"/>
      <c r="B33" s="143" t="s">
        <v>60</v>
      </c>
      <c r="C33" s="144"/>
      <c r="D33" s="144"/>
      <c r="E33" s="144"/>
      <c r="F33" s="145"/>
      <c r="G33" s="76">
        <f>(G31+G32)*'Fane 15. Nøgletal'!C31</f>
        <v>133654.80262356048</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8" t="s">
        <v>160</v>
      </c>
      <c r="C36" s="139"/>
      <c r="D36" s="139"/>
      <c r="E36" s="139"/>
      <c r="F36" s="139"/>
      <c r="G36" s="146"/>
      <c r="H36" s="140"/>
      <c r="I36" s="1"/>
    </row>
    <row r="37" spans="1:9" x14ac:dyDescent="0.25">
      <c r="A37" s="1"/>
      <c r="B37" s="143" t="s">
        <v>79</v>
      </c>
      <c r="C37" s="144"/>
      <c r="D37" s="144"/>
      <c r="E37" s="144"/>
      <c r="F37" s="145"/>
      <c r="G37" s="76">
        <f>(G31+G32-G33)*(1+'Fane 15. Nøgletal'!C14)</f>
        <v>6570697.310138694</v>
      </c>
      <c r="H37" s="14" t="s">
        <v>3</v>
      </c>
      <c r="I37" s="1"/>
    </row>
    <row r="38" spans="1:9" x14ac:dyDescent="0.25">
      <c r="A38" s="1"/>
      <c r="B38" s="143" t="s">
        <v>164</v>
      </c>
      <c r="C38" s="144"/>
      <c r="D38" s="144"/>
      <c r="E38" s="144"/>
      <c r="F38" s="145"/>
      <c r="G38" s="76">
        <v>41359.628248320005</v>
      </c>
      <c r="H38" s="14" t="s">
        <v>3</v>
      </c>
      <c r="I38" s="1"/>
    </row>
    <row r="39" spans="1:9" x14ac:dyDescent="0.25">
      <c r="A39" s="1"/>
      <c r="B39" s="143" t="s">
        <v>162</v>
      </c>
      <c r="C39" s="144"/>
      <c r="D39" s="144"/>
      <c r="E39" s="144"/>
      <c r="F39" s="145"/>
      <c r="G39" s="76">
        <f>(G37+G38)*'Fane 15. Nøgletal'!C31</f>
        <v>132241.13876774028</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8" t="s">
        <v>161</v>
      </c>
      <c r="C42" s="139"/>
      <c r="D42" s="139"/>
      <c r="E42" s="139"/>
      <c r="F42" s="139"/>
      <c r="G42" s="146"/>
      <c r="H42" s="140"/>
      <c r="I42" s="1"/>
    </row>
    <row r="43" spans="1:9" x14ac:dyDescent="0.25">
      <c r="A43" s="1"/>
      <c r="B43" s="143" t="s">
        <v>228</v>
      </c>
      <c r="C43" s="144"/>
      <c r="D43" s="144"/>
      <c r="E43" s="144"/>
      <c r="F43" s="145"/>
      <c r="G43" s="76">
        <f>(G37+G38-G39)*(1+'Fane 15. Nøgletal'!C14)</f>
        <v>6501199.1917580171</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133569.37488384001</v>
      </c>
      <c r="H44" s="14" t="s">
        <v>3</v>
      </c>
      <c r="I44" s="1"/>
    </row>
    <row r="45" spans="1:9" x14ac:dyDescent="0.25">
      <c r="A45" s="1"/>
      <c r="B45" s="143" t="s">
        <v>163</v>
      </c>
      <c r="C45" s="144"/>
      <c r="D45" s="144"/>
      <c r="E45" s="144"/>
      <c r="F45" s="145"/>
      <c r="G45" s="76">
        <f>SUM(G43:G44)*'Fane 15. Nøgletal'!C31</f>
        <v>132695.37133283715</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8" t="s">
        <v>241</v>
      </c>
      <c r="C51" s="139"/>
      <c r="D51" s="139"/>
      <c r="E51" s="139"/>
      <c r="F51" s="139"/>
      <c r="G51" s="146"/>
      <c r="H51" s="140"/>
      <c r="I51" s="1"/>
    </row>
    <row r="52" spans="1:9" x14ac:dyDescent="0.25">
      <c r="A52" s="1"/>
      <c r="B52" s="143" t="s">
        <v>227</v>
      </c>
      <c r="C52" s="144"/>
      <c r="D52" s="144"/>
      <c r="E52" s="144"/>
      <c r="F52" s="145"/>
      <c r="G52" s="76">
        <f>(G43+G44-G45)*(1+'Fane 15. Nøgletal'!C15)</f>
        <v>6733547.0010620216</v>
      </c>
      <c r="H52" s="14" t="s">
        <v>3</v>
      </c>
      <c r="I52" s="1"/>
    </row>
    <row r="53" spans="1:9" x14ac:dyDescent="0.25">
      <c r="A53" s="1"/>
      <c r="B53" s="143" t="s">
        <v>138</v>
      </c>
      <c r="C53" s="144"/>
      <c r="D53" s="144"/>
      <c r="E53" s="144"/>
      <c r="F53" s="145"/>
      <c r="G53" s="76">
        <f>(G52)*'Fane 15. Nøgletal'!C31</f>
        <v>134670.94002124044</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8" t="s">
        <v>150</v>
      </c>
      <c r="C56" s="139"/>
      <c r="D56" s="139"/>
      <c r="E56" s="139"/>
      <c r="F56" s="139"/>
      <c r="G56" s="146"/>
      <c r="H56" s="140"/>
      <c r="I56" s="1"/>
    </row>
    <row r="57" spans="1:9" x14ac:dyDescent="0.25">
      <c r="A57" s="1"/>
      <c r="B57" s="91" t="s">
        <v>151</v>
      </c>
      <c r="C57" s="92"/>
      <c r="D57" s="92"/>
      <c r="E57" s="92"/>
      <c r="F57" s="93"/>
      <c r="G57" s="76">
        <f>(G52-G53)*(1+'Fane 15. Nøgletal'!C15)</f>
        <v>6833796.0488138339</v>
      </c>
      <c r="H57" s="14" t="s">
        <v>3</v>
      </c>
      <c r="I57" s="1"/>
    </row>
    <row r="58" spans="1:9" x14ac:dyDescent="0.25">
      <c r="A58" s="1"/>
      <c r="B58" s="91" t="s">
        <v>152</v>
      </c>
      <c r="C58" s="92"/>
      <c r="D58" s="92"/>
      <c r="E58" s="92"/>
      <c r="F58" s="93"/>
      <c r="G58" s="76">
        <f>(G57)*'Fane 15. Nøgletal'!C31</f>
        <v>136675.92097627668</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8" t="s">
        <v>193</v>
      </c>
      <c r="C61" s="139"/>
      <c r="D61" s="139"/>
      <c r="E61" s="139"/>
      <c r="F61" s="139"/>
      <c r="G61" s="146"/>
      <c r="H61" s="140"/>
      <c r="I61" s="1"/>
    </row>
    <row r="62" spans="1:9" x14ac:dyDescent="0.25">
      <c r="A62" s="1"/>
      <c r="B62" s="91" t="s">
        <v>194</v>
      </c>
      <c r="C62" s="92"/>
      <c r="D62" s="92"/>
      <c r="E62" s="92"/>
      <c r="F62" s="93"/>
      <c r="G62" s="76">
        <f>(G57-G58)*(1+'Fane 15. Nøgletal'!C15)</f>
        <v>6935537.6043885751</v>
      </c>
      <c r="H62" s="14" t="s">
        <v>3</v>
      </c>
      <c r="I62" s="1"/>
    </row>
    <row r="63" spans="1:9" x14ac:dyDescent="0.25">
      <c r="A63" s="1"/>
      <c r="B63" s="91" t="s">
        <v>195</v>
      </c>
      <c r="C63" s="92"/>
      <c r="D63" s="92"/>
      <c r="E63" s="92"/>
      <c r="F63" s="93"/>
      <c r="G63" s="76">
        <f>(G62)*'Fane 15. Nøgletal'!C31</f>
        <v>138710.75208777151</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uJ8zrqfPxnvEpeet+U0nBVbu+L+6MhCRyHeMyqZSTIw5tfQzJZQ+fmG2kVUwkjB/LX5MGzSIfykz60wq7m+6sg==" saltValue="vYVf2z3atPfXTBnDbGk+xA=="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6.140625" style="2" customWidth="1"/>
    <col min="7" max="7" width="14.140625" style="2" customWidth="1"/>
    <col min="8" max="8" width="3.28515625" style="2" customWidth="1"/>
    <col min="9" max="9" width="2.42578125" style="2" customWidth="1"/>
    <col min="10" max="16384" width="9.140625" style="2"/>
  </cols>
  <sheetData>
    <row r="1" spans="1:9" ht="14.25" customHeight="1" x14ac:dyDescent="0.25">
      <c r="A1" s="1"/>
      <c r="B1" s="153" t="s">
        <v>110</v>
      </c>
      <c r="C1" s="153"/>
      <c r="D1" s="153"/>
      <c r="E1" s="153"/>
      <c r="F1" s="153"/>
      <c r="G1" s="153"/>
      <c r="H1" s="153"/>
      <c r="I1" s="1"/>
    </row>
    <row r="2" spans="1:9" ht="15" customHeight="1" x14ac:dyDescent="0.25">
      <c r="A2" s="1"/>
      <c r="B2" s="153"/>
      <c r="C2" s="153"/>
      <c r="D2" s="153"/>
      <c r="E2" s="153"/>
      <c r="F2" s="153"/>
      <c r="G2" s="153"/>
      <c r="H2" s="153"/>
      <c r="I2" s="1"/>
    </row>
    <row r="3" spans="1:9" ht="15" customHeight="1" x14ac:dyDescent="0.25">
      <c r="A3" s="1"/>
      <c r="B3" s="154"/>
      <c r="C3" s="154"/>
      <c r="D3" s="154"/>
      <c r="E3" s="154"/>
      <c r="F3" s="154"/>
      <c r="G3" s="154"/>
      <c r="H3" s="154"/>
      <c r="I3" s="1"/>
    </row>
    <row r="4" spans="1:9" x14ac:dyDescent="0.25">
      <c r="A4" s="1"/>
      <c r="B4" s="138" t="s">
        <v>56</v>
      </c>
      <c r="C4" s="139"/>
      <c r="D4" s="139"/>
      <c r="E4" s="139"/>
      <c r="F4" s="139"/>
      <c r="G4" s="139"/>
      <c r="H4" s="140"/>
      <c r="I4" s="1"/>
    </row>
    <row r="5" spans="1:9" x14ac:dyDescent="0.25">
      <c r="A5" s="1"/>
      <c r="B5" s="143" t="s">
        <v>61</v>
      </c>
      <c r="C5" s="144"/>
      <c r="D5" s="144"/>
      <c r="E5" s="144"/>
      <c r="F5" s="145"/>
      <c r="G5" s="76">
        <v>12723595.711666878</v>
      </c>
      <c r="H5" s="14" t="s">
        <v>3</v>
      </c>
      <c r="I5" s="1"/>
    </row>
    <row r="6" spans="1:9" x14ac:dyDescent="0.25">
      <c r="A6" s="1"/>
      <c r="B6" s="143" t="s">
        <v>57</v>
      </c>
      <c r="C6" s="144"/>
      <c r="D6" s="144"/>
      <c r="E6" s="144"/>
      <c r="F6" s="145"/>
      <c r="G6" s="76">
        <f>G5*'Fane 15. Nøgletal'!C20</f>
        <v>115784.7209761686</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8" t="s">
        <v>62</v>
      </c>
      <c r="C9" s="139"/>
      <c r="D9" s="139"/>
      <c r="E9" s="139"/>
      <c r="F9" s="139"/>
      <c r="G9" s="146"/>
      <c r="H9" s="140"/>
      <c r="I9" s="1"/>
    </row>
    <row r="10" spans="1:9" x14ac:dyDescent="0.25">
      <c r="A10" s="1"/>
      <c r="B10" s="143" t="s">
        <v>63</v>
      </c>
      <c r="C10" s="144"/>
      <c r="D10" s="144"/>
      <c r="E10" s="144"/>
      <c r="F10" s="145"/>
      <c r="G10" s="76">
        <f>(G5-G6)*(1+'Fane 15. Nøgletal'!C10)</f>
        <v>12828447.683027798</v>
      </c>
      <c r="H10" s="14" t="s">
        <v>3</v>
      </c>
      <c r="I10" s="1"/>
    </row>
    <row r="11" spans="1:9" x14ac:dyDescent="0.25">
      <c r="A11" s="1"/>
      <c r="B11" s="143" t="s">
        <v>122</v>
      </c>
      <c r="C11" s="144"/>
      <c r="D11" s="144"/>
      <c r="E11" s="144"/>
      <c r="F11" s="145"/>
      <c r="G11" s="76">
        <v>3343.4076398344109</v>
      </c>
      <c r="H11" s="14" t="s">
        <v>3</v>
      </c>
      <c r="I11" s="1"/>
    </row>
    <row r="12" spans="1:9" x14ac:dyDescent="0.25">
      <c r="A12" s="1"/>
      <c r="B12" s="150" t="s">
        <v>64</v>
      </c>
      <c r="C12" s="151"/>
      <c r="D12" s="151"/>
      <c r="E12" s="151"/>
      <c r="F12" s="152"/>
      <c r="G12" s="77">
        <v>0</v>
      </c>
      <c r="H12" s="14" t="s">
        <v>3</v>
      </c>
      <c r="I12" s="1"/>
    </row>
    <row r="13" spans="1:9" x14ac:dyDescent="0.25">
      <c r="A13" s="1"/>
      <c r="B13" s="143" t="s">
        <v>65</v>
      </c>
      <c r="C13" s="144"/>
      <c r="D13" s="144"/>
      <c r="E13" s="144"/>
      <c r="F13" s="145"/>
      <c r="G13" s="76">
        <f>SUM(G10:G12)*'Fane 15. Nøgletal'!C21</f>
        <v>227122.70230481712</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8" t="s">
        <v>66</v>
      </c>
      <c r="C16" s="139"/>
      <c r="D16" s="139"/>
      <c r="E16" s="139"/>
      <c r="F16" s="139"/>
      <c r="G16" s="146"/>
      <c r="H16" s="140"/>
      <c r="I16" s="1"/>
    </row>
    <row r="17" spans="1:9" x14ac:dyDescent="0.25">
      <c r="A17" s="1"/>
      <c r="B17" s="143" t="s">
        <v>67</v>
      </c>
      <c r="C17" s="144"/>
      <c r="D17" s="144"/>
      <c r="E17" s="144"/>
      <c r="F17" s="145"/>
      <c r="G17" s="76">
        <f>(SUM(G10:G12)-G13)*(1+'Fane 15. Nøgletal'!C10)</f>
        <v>12825250.085159166</v>
      </c>
      <c r="H17" s="14" t="s">
        <v>3</v>
      </c>
      <c r="I17" s="1"/>
    </row>
    <row r="18" spans="1:9" x14ac:dyDescent="0.25">
      <c r="A18" s="1"/>
      <c r="B18" s="150" t="s">
        <v>68</v>
      </c>
      <c r="C18" s="151"/>
      <c r="D18" s="151"/>
      <c r="E18" s="151"/>
      <c r="F18" s="152"/>
      <c r="G18" s="76">
        <v>0</v>
      </c>
      <c r="H18" s="14" t="s">
        <v>3</v>
      </c>
      <c r="I18" s="1"/>
    </row>
    <row r="19" spans="1:9" x14ac:dyDescent="0.25">
      <c r="A19" s="1"/>
      <c r="B19" s="143" t="s">
        <v>69</v>
      </c>
      <c r="C19" s="144"/>
      <c r="D19" s="144"/>
      <c r="E19" s="144"/>
      <c r="F19" s="145"/>
      <c r="G19" s="76">
        <f>G17*'Fane 15. Nøgletal'!C21+G18*'Fane 15. Nøgletal'!C22</f>
        <v>227006.92650731723</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8" t="s">
        <v>70</v>
      </c>
      <c r="C22" s="139"/>
      <c r="D22" s="139"/>
      <c r="E22" s="139"/>
      <c r="F22" s="139"/>
      <c r="G22" s="146"/>
      <c r="H22" s="140"/>
      <c r="I22" s="1"/>
    </row>
    <row r="23" spans="1:9" x14ac:dyDescent="0.25">
      <c r="A23" s="1"/>
      <c r="B23" s="143" t="s">
        <v>71</v>
      </c>
      <c r="C23" s="144"/>
      <c r="D23" s="144"/>
      <c r="E23" s="144"/>
      <c r="F23" s="145"/>
      <c r="G23" s="76">
        <f>(G17+G18-G19)*(1+'Fane 15. Nøgletal'!C12)</f>
        <v>12846428.548877291</v>
      </c>
      <c r="H23" s="14" t="s">
        <v>3</v>
      </c>
      <c r="I23" s="1"/>
    </row>
    <row r="24" spans="1:9" x14ac:dyDescent="0.25">
      <c r="A24" s="1"/>
      <c r="B24" s="150" t="s">
        <v>72</v>
      </c>
      <c r="C24" s="151"/>
      <c r="D24" s="151"/>
      <c r="E24" s="151"/>
      <c r="F24" s="152"/>
      <c r="G24" s="76">
        <v>4153.95341955</v>
      </c>
      <c r="H24" s="14" t="s">
        <v>3</v>
      </c>
      <c r="I24" s="1"/>
    </row>
    <row r="25" spans="1:9" x14ac:dyDescent="0.25">
      <c r="A25" s="1"/>
      <c r="B25" s="143" t="s">
        <v>73</v>
      </c>
      <c r="C25" s="144"/>
      <c r="D25" s="144"/>
      <c r="E25" s="144"/>
      <c r="F25" s="145"/>
      <c r="G25" s="76">
        <f>(G23+G24)*'Fane 15. Nøgletal'!C23</f>
        <v>364956.5430652303</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8" t="s">
        <v>74</v>
      </c>
      <c r="C28" s="139"/>
      <c r="D28" s="139"/>
      <c r="E28" s="139"/>
      <c r="F28" s="139"/>
      <c r="G28" s="146"/>
      <c r="H28" s="140"/>
      <c r="I28" s="1"/>
    </row>
    <row r="29" spans="1:9" x14ac:dyDescent="0.25">
      <c r="A29" s="1"/>
      <c r="B29" s="143" t="s">
        <v>75</v>
      </c>
      <c r="C29" s="144"/>
      <c r="D29" s="144"/>
      <c r="E29" s="144"/>
      <c r="F29" s="145"/>
      <c r="G29" s="76">
        <f>(G23+G24-G25)*(1+'Fane 15. Nøgletal'!C12)</f>
        <v>12731592.790628474</v>
      </c>
      <c r="H29" s="14" t="s">
        <v>3</v>
      </c>
      <c r="I29" s="1"/>
    </row>
    <row r="30" spans="1:9" x14ac:dyDescent="0.25">
      <c r="A30" s="1"/>
      <c r="B30" s="143" t="s">
        <v>139</v>
      </c>
      <c r="C30" s="144"/>
      <c r="D30" s="144"/>
      <c r="E30" s="144"/>
      <c r="F30" s="145"/>
      <c r="G30" s="76">
        <v>1964792.6787005998</v>
      </c>
      <c r="H30" s="14" t="s">
        <v>3</v>
      </c>
      <c r="I30" s="1"/>
    </row>
    <row r="31" spans="1:9" x14ac:dyDescent="0.25">
      <c r="A31" s="1"/>
      <c r="B31" s="143" t="s">
        <v>76</v>
      </c>
      <c r="C31" s="144"/>
      <c r="D31" s="144"/>
      <c r="E31" s="144"/>
      <c r="F31" s="145"/>
      <c r="G31" s="76">
        <f>G29*'Fane 15. Nøgletal'!C23+G30*'Fane 15. Nøgletal'!C24</f>
        <v>415609.03391811514</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8" t="s">
        <v>165</v>
      </c>
      <c r="C34" s="139"/>
      <c r="D34" s="139"/>
      <c r="E34" s="139"/>
      <c r="F34" s="139"/>
      <c r="G34" s="146"/>
      <c r="H34" s="140"/>
      <c r="I34" s="1"/>
    </row>
    <row r="35" spans="1:9" x14ac:dyDescent="0.25">
      <c r="A35" s="1"/>
      <c r="B35" s="143" t="s">
        <v>78</v>
      </c>
      <c r="C35" s="144"/>
      <c r="D35" s="144"/>
      <c r="E35" s="144"/>
      <c r="F35" s="145"/>
      <c r="G35" s="76">
        <f>(G29+G30-G31)*(1+'Fane 15. Nøgletal'!C14)</f>
        <v>14327902.997647816</v>
      </c>
      <c r="H35" s="14" t="s">
        <v>3</v>
      </c>
      <c r="I35" s="1"/>
    </row>
    <row r="36" spans="1:9" x14ac:dyDescent="0.25">
      <c r="A36" s="1"/>
      <c r="B36" s="143" t="s">
        <v>167</v>
      </c>
      <c r="C36" s="144"/>
      <c r="D36" s="144"/>
      <c r="E36" s="144"/>
      <c r="F36" s="145"/>
      <c r="G36" s="76">
        <v>51664.303929250011</v>
      </c>
      <c r="H36" s="14" t="s">
        <v>3</v>
      </c>
      <c r="I36" s="1"/>
    </row>
    <row r="37" spans="1:9" x14ac:dyDescent="0.25">
      <c r="A37" s="1"/>
      <c r="B37" s="143" t="s">
        <v>166</v>
      </c>
      <c r="C37" s="144"/>
      <c r="D37" s="144"/>
      <c r="E37" s="144"/>
      <c r="F37" s="145"/>
      <c r="G37" s="76">
        <f>(G35+G36)*'Fane 15. Nøgletal'!C25</f>
        <v>212817.59606334061</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8" t="s">
        <v>221</v>
      </c>
      <c r="C40" s="139"/>
      <c r="D40" s="139"/>
      <c r="E40" s="139"/>
      <c r="F40" s="139"/>
      <c r="G40" s="146"/>
      <c r="H40" s="140"/>
      <c r="I40" s="1"/>
    </row>
    <row r="41" spans="1:9" x14ac:dyDescent="0.25">
      <c r="A41" s="1"/>
      <c r="B41" s="143" t="s">
        <v>77</v>
      </c>
      <c r="C41" s="144"/>
      <c r="D41" s="144"/>
      <c r="E41" s="144"/>
      <c r="F41" s="145"/>
      <c r="G41" s="76">
        <f>(G35+G36-G37)*(1+'Fane 15. Nøgletal'!C14)</f>
        <v>14213499.979541924</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1809508.7560190402</v>
      </c>
      <c r="H42" s="14" t="s">
        <v>3</v>
      </c>
      <c r="I42" s="1"/>
    </row>
    <row r="43" spans="1:9" x14ac:dyDescent="0.25">
      <c r="A43" s="1"/>
      <c r="B43" s="143" t="s">
        <v>168</v>
      </c>
      <c r="C43" s="144"/>
      <c r="D43" s="144"/>
      <c r="E43" s="144"/>
      <c r="F43" s="145"/>
      <c r="G43" s="76">
        <f>(G41)*'Fane 15. Nøgletal'!C25+G42*'Fane 15. Nøgletal'!C26</f>
        <v>210359.79969722047</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8" t="s">
        <v>242</v>
      </c>
      <c r="C52" s="139"/>
      <c r="D52" s="139"/>
      <c r="E52" s="139"/>
      <c r="F52" s="139"/>
      <c r="G52" s="146"/>
      <c r="H52" s="140"/>
      <c r="I52" s="1"/>
    </row>
    <row r="53" spans="1:9" x14ac:dyDescent="0.25">
      <c r="A53" s="1"/>
      <c r="B53" s="143" t="s">
        <v>140</v>
      </c>
      <c r="C53" s="144"/>
      <c r="D53" s="144"/>
      <c r="E53" s="144"/>
      <c r="F53" s="145"/>
      <c r="G53" s="76">
        <f>(G41+G42-G43)*(1+'Fane 15. Nøgletal'!C15)</f>
        <v>16375579.237980494</v>
      </c>
      <c r="H53" s="14" t="s">
        <v>3</v>
      </c>
      <c r="I53" s="1"/>
    </row>
    <row r="54" spans="1:9" x14ac:dyDescent="0.25">
      <c r="A54" s="1"/>
      <c r="B54" s="143" t="s">
        <v>141</v>
      </c>
      <c r="C54" s="144"/>
      <c r="D54" s="144"/>
      <c r="E54" s="144"/>
      <c r="F54" s="145"/>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8" t="s">
        <v>153</v>
      </c>
      <c r="C57" s="139"/>
      <c r="D57" s="139"/>
      <c r="E57" s="139"/>
      <c r="F57" s="139"/>
      <c r="G57" s="146"/>
      <c r="H57" s="140"/>
      <c r="I57" s="1"/>
    </row>
    <row r="58" spans="1:9" x14ac:dyDescent="0.25">
      <c r="A58" s="1"/>
      <c r="B58" s="143" t="s">
        <v>173</v>
      </c>
      <c r="C58" s="144"/>
      <c r="D58" s="144"/>
      <c r="E58" s="144"/>
      <c r="F58" s="145"/>
      <c r="G58" s="76">
        <f>(G53-G54)*(1+'Fane 15. Nøgletal'!C15)</f>
        <v>16958549.858852603</v>
      </c>
      <c r="H58" s="14" t="s">
        <v>3</v>
      </c>
      <c r="I58" s="1"/>
    </row>
    <row r="59" spans="1:9" x14ac:dyDescent="0.25">
      <c r="A59" s="1"/>
      <c r="B59" s="143" t="s">
        <v>174</v>
      </c>
      <c r="C59" s="144"/>
      <c r="D59" s="144"/>
      <c r="E59" s="144"/>
      <c r="F59" s="145"/>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8" t="s">
        <v>196</v>
      </c>
      <c r="C62" s="139"/>
      <c r="D62" s="139"/>
      <c r="E62" s="139"/>
      <c r="F62" s="139"/>
      <c r="G62" s="146"/>
      <c r="H62" s="140"/>
      <c r="I62" s="1"/>
    </row>
    <row r="63" spans="1:9" x14ac:dyDescent="0.25">
      <c r="A63" s="1"/>
      <c r="B63" s="143" t="s">
        <v>197</v>
      </c>
      <c r="C63" s="144"/>
      <c r="D63" s="144"/>
      <c r="E63" s="144"/>
      <c r="F63" s="145"/>
      <c r="G63" s="76">
        <f>(G58-G59)*(1+'Fane 15. Nøgletal'!C15)</f>
        <v>17562274.233827755</v>
      </c>
      <c r="H63" s="14" t="s">
        <v>3</v>
      </c>
      <c r="I63" s="1"/>
    </row>
    <row r="64" spans="1:9" x14ac:dyDescent="0.25">
      <c r="A64" s="1"/>
      <c r="B64" s="143" t="s">
        <v>198</v>
      </c>
      <c r="C64" s="144"/>
      <c r="D64" s="144"/>
      <c r="E64" s="144"/>
      <c r="F64" s="145"/>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zCGFUHduwsliYGh7y0+0rODZwbbgItx4W+MdVz1fyzxEaxwHQxqOyYLfj0xlRNd0fM9ha304dG/mHX4xh5YFgA==" saltValue="MQ8i1HXm8HXU/fQ8XZGv5Q=="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6" t="s">
        <v>88</v>
      </c>
      <c r="C3" s="126"/>
      <c r="D3" s="126"/>
      <c r="E3" s="126"/>
      <c r="F3" s="126"/>
      <c r="G3" s="126"/>
      <c r="H3" s="1"/>
    </row>
    <row r="4" spans="1:8" ht="15" customHeight="1" x14ac:dyDescent="0.25">
      <c r="A4" s="1"/>
      <c r="B4" s="126"/>
      <c r="C4" s="126"/>
      <c r="D4" s="126"/>
      <c r="E4" s="126"/>
      <c r="F4" s="126"/>
      <c r="G4" s="12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8" t="s">
        <v>10</v>
      </c>
      <c r="C8" s="139"/>
      <c r="D8" s="139"/>
      <c r="E8" s="139"/>
      <c r="F8" s="139"/>
      <c r="G8" s="140"/>
      <c r="H8" s="1"/>
    </row>
    <row r="9" spans="1:8" x14ac:dyDescent="0.25">
      <c r="A9" s="1"/>
      <c r="B9" s="143" t="s">
        <v>154</v>
      </c>
      <c r="C9" s="144"/>
      <c r="D9" s="144"/>
      <c r="E9" s="144"/>
      <c r="F9" s="145"/>
      <c r="G9" s="35">
        <v>4.1920009575010285E-3</v>
      </c>
      <c r="H9" s="1"/>
    </row>
    <row r="10" spans="1:8" x14ac:dyDescent="0.25">
      <c r="A10" s="1"/>
      <c r="B10" s="32"/>
      <c r="C10" s="27"/>
      <c r="D10" s="27"/>
      <c r="E10" s="27"/>
      <c r="F10" s="27"/>
      <c r="G10" s="19"/>
      <c r="H10" s="1"/>
    </row>
    <row r="11" spans="1:8" ht="29.25" customHeight="1" x14ac:dyDescent="0.25">
      <c r="A11" s="1"/>
      <c r="B11" s="155" t="s">
        <v>236</v>
      </c>
      <c r="C11" s="156"/>
      <c r="D11" s="156"/>
      <c r="E11" s="156"/>
      <c r="F11" s="156"/>
      <c r="G11" s="157"/>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R1v2LPJX+R/NG/rULjaF1BoTdvmdeQ3H7RNa5eJKpPy3xlVC5xOmeDHBbQ/UfBTy+rkbQVZPg1Hg7K3fh6xctQ==" saltValue="lAyrkE8fVxUnh38P0ctKS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2022-12-06T11:33:13Z</dcterms:modified>
</cp:coreProperties>
</file>