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varmløse-Tølløse Vandværk (V115)\ØR2022\"/>
    </mc:Choice>
  </mc:AlternateContent>
  <xr:revisionPtr revIDLastSave="0" documentId="13_ncr:1_{1DDECB0D-E784-41B1-A315-1CACB4B3B6A7}" xr6:coauthVersionLast="36" xr6:coauthVersionMax="36" xr10:uidLastSave="{00000000-0000-0000-0000-000000000000}"/>
  <bookViews>
    <workbookView xWindow="3105" yWindow="990" windowWidth="12735" windowHeight="4620" tabRatio="872" firstSheet="2" activeTab="4" xr2:uid="{00000000-000D-0000-FFFF-FFFF00000000}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91029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12" i="10" l="1"/>
  <c r="C12" i="10"/>
  <c r="C13" i="7"/>
  <c r="E25" i="8" l="1"/>
  <c r="E33" i="8" l="1"/>
  <c r="E35" i="8" s="1"/>
  <c r="E29" i="8"/>
  <c r="E25" i="2" s="1"/>
  <c r="E10" i="2"/>
  <c r="E14" i="6"/>
  <c r="E20" i="5" l="1"/>
  <c r="E20" i="4"/>
  <c r="E21" i="3"/>
  <c r="C11" i="12"/>
  <c r="C12" i="12" s="1"/>
  <c r="C14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3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3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<sst xmlns="http://schemas.openxmlformats.org/spreadsheetml/2006/main" count="406" uniqueCount="153">
  <si>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</si>
  <si>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</si>
  <si>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</si>
  <si>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</si>
  <si>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</si>
  <si>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</si>
  <si>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</si>
  <si>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</si>
  <si>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</si>
  <si>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</si>
  <si>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</si>
  <si>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</si>
  <si>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</si>
  <si>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</si>
  <si>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</si>
  <si>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</si>
  <si>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</si>
  <si>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</si>
  <si>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</si>
  <si>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</si>
  <si>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</si>
  <si>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</si>
  <si>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</si>
  <si>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</si>
  <si>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</si>
  <si>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</si>
  <si>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</si>
  <si>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</si>
  <si>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</si>
  <si>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</si>
  <si>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</si>
  <si>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</si>
  <si>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</si>
  <si>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</si>
  <si>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</si>
  <si>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</si>
  <si>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</si>
  <si>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</si>
  <si>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</si>
  <si>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</si>
  <si>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</si>
  <si>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</si>
  <si>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</si>
  <si>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</si>
  <si>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</si>
  <si>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</si>
  <si>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</si>
  <si>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</si>
  <si>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</si>
  <si>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</si>
  <si>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</si>
  <si>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</si>
  <si>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</si>
  <si>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</si>
  <si>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</si>
  <si>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</si>
  <si>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</si>
  <si>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</si>
  <si>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</si>
  <si>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</si>
  <si>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</si>
  <si>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</si>
  <si>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</si>
  <si>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</si>
  <si>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</si>
  <si>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</si>
  <si>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</si>
  <si>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</si>
  <si>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</si>
  <si>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</si>
  <si>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</si>
  <si>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</si>
  <si>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</si>
  <si>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</si>
  <si>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</si>
  <si>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</si>
  <si>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</si>
  <si>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</si>
  <si>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</si>
  <si>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</si>
  <si>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</si>
  <si>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</si>
  <si>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</si>
  <si>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</si>
  <si>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</si>
  <si>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</si>
  <si>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</si>
  <si>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</si>
  <si>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</si>
  <si>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</si>
  <si>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</si>
  <si>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</si>
  <si>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</si>
  <si>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</si>
  <si>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</si>
  <si>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</si>
  <si>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</si>
  <si>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</si>
  <si>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</si>
  <si>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</si>
  <si>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</si>
  <si>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</si>
  <si>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</si>
  <si>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</si>
  <si>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</si>
  <si>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</si>
  <si>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</si>
  <si>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</si>
  <si>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</si>
  <si>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</si>
  <si>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</si>
  <si>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</si>
  <si>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</si>
  <si>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</si>
  <si>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</si>
  <si>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</si>
  <si>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</si>
  <si>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</si>
  <si>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</si>
  <si>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</si>
  <si>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</si>
  <si>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</si>
  <si>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</si>
  <si>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</si>
  <si>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</si>
  <si>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</si>
  <si>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</si>
  <si>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</si>
  <si>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</si>
  <si>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</si>
  <si>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</si>
  <si>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for ledningsført vand</t>
  </si>
  <si>
    <t>Afgift til Forsyningssekretariatet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</si>
  <si>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</si>
  <si>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</si>
  <si>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</si>
  <si>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</si>
  <si>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</si>
  <si>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</si>
  <si>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</si>
  <si>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</si>
  <si>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</si>
  <si>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</si>
  <si>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</si>
  <si>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</si>
  <si>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</si>
  <si>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</si>
  <si>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</si>
  <si>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</si>
  <si>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</si>
  <si>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</si>
  <si>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</si>
  <si>
    <t>Fusion Gl. Tølløse Vandværk (50 pct.)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</si>
</sst>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6" fillId="7" borderId="1" xfId="0" applyFont="1" applyFill="1" applyBorder="1" applyAlignment="1" applyProtection="1"/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 xr:uid="{00000000-0005-0000-0000-000002000000}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I50"/>
  <sheetViews>
    <sheetView showGridLines="0" view="pageLayout" zoomScaleNormal="100" workbookViewId="0">
      <selection activeCell="D21" sqref="D21:G21"/>
    </sheetView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2" t="s">
        <v>94</v>
      </c>
      <c r="E8" s="72"/>
      <c r="F8" s="72"/>
      <c r="G8" s="7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87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15</v>
      </c>
      <c r="D14" s="67" t="s">
        <v>37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32</v>
      </c>
      <c r="D15" s="67" t="s">
        <v>63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33</v>
      </c>
      <c r="D16" s="67" t="s">
        <v>95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59</v>
      </c>
      <c r="D17" s="67" t="s">
        <v>96</v>
      </c>
      <c r="E17" s="68"/>
      <c r="F17" s="68"/>
      <c r="G17" s="69"/>
      <c r="H17" s="1"/>
      <c r="I17" s="1"/>
    </row>
    <row r="18" spans="1:9" x14ac:dyDescent="0.25">
      <c r="A18" s="1"/>
      <c r="B18" s="1"/>
      <c r="C18" s="6" t="s">
        <v>7</v>
      </c>
      <c r="D18" s="64" t="s">
        <v>12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8</v>
      </c>
      <c r="D19" s="58" t="s">
        <v>97</v>
      </c>
      <c r="E19" s="59"/>
      <c r="F19" s="59"/>
      <c r="G19" s="60"/>
      <c r="H19" s="1"/>
      <c r="I19" s="1"/>
    </row>
    <row r="20" spans="1:9" x14ac:dyDescent="0.25">
      <c r="A20" s="1"/>
      <c r="B20" s="1"/>
      <c r="C20" s="6" t="s">
        <v>56</v>
      </c>
      <c r="D20" s="58" t="s">
        <v>34</v>
      </c>
      <c r="E20" s="59"/>
      <c r="F20" s="59"/>
      <c r="G20" s="60"/>
      <c r="H20" s="1"/>
      <c r="I20" s="1"/>
    </row>
    <row r="21" spans="1:9" x14ac:dyDescent="0.25">
      <c r="A21" s="1"/>
      <c r="B21" s="1"/>
      <c r="C21" s="6" t="s">
        <v>82</v>
      </c>
      <c r="D21" s="58" t="s">
        <v>41</v>
      </c>
      <c r="E21" s="59"/>
      <c r="F21" s="59"/>
      <c r="G21" s="60"/>
      <c r="H21" s="1"/>
      <c r="I21" s="1"/>
    </row>
    <row r="22" spans="1:9" x14ac:dyDescent="0.25">
      <c r="A22" s="1"/>
      <c r="B22" s="1"/>
      <c r="C22" s="6" t="s">
        <v>83</v>
      </c>
      <c r="D22" s="58" t="s">
        <v>42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84</v>
      </c>
      <c r="D23" s="58" t="s">
        <v>64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35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50</v>
      </c>
      <c r="D25" s="61" t="s">
        <v>57</v>
      </c>
      <c r="E25" s="62"/>
      <c r="F25" s="62"/>
      <c r="G25" s="6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Cc2kAWMyO11y0YjREqdQPeFXOaaMaK6mXXojpqiWD2k3jInVVzO4yfM54ajV9kQK0jdco1iMQfeHgwgV+1J6A==" saltValue="zSDQaryfJ30AQvnMgV3IoA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 xr:uid="{00000000-0004-0000-0000-000000000000}"/>
    <hyperlink ref="D21:G21" location="'Fane 7.1. Varige tillæg'!A1" display="Varige tillæg" xr:uid="{00000000-0004-0000-0000-000001000000}"/>
    <hyperlink ref="D23:G23" location="'Fane 8. Tilknyttet virksomhed'!A1" display="Tilknyttet virksomhed" xr:uid="{00000000-0004-0000-0000-000002000000}"/>
    <hyperlink ref="D24:G24" location="'Fane 9. Bortfald'!A1" display="Bortfald" xr:uid="{00000000-0004-0000-0000-000003000000}"/>
    <hyperlink ref="D13:G13" location="'Fane 2.1. Økonomisk ramme 2022'!A1" display="Samlet økonomisk ramme for 2021" xr:uid="{00000000-0004-0000-0000-000004000000}"/>
    <hyperlink ref="D16:G16" location="'Fane 2.4. Økonomisk ramme 2025'!A1" display="Vejledende økonomisk ramme for 2024" xr:uid="{00000000-0004-0000-0000-000005000000}"/>
    <hyperlink ref="D15:G15" location="'Fane 2.3. Økonomisk ramme 2024'!A1" display="Vejledende økonomisk ramme for 2023" xr:uid="{00000000-0004-0000-0000-000006000000}"/>
    <hyperlink ref="D18:G18" location="'Fane 4. Ikke-påvirkelige omk.'!A1" display="Ikke-påvirkelige omk." xr:uid="{00000000-0004-0000-0000-000007000000}"/>
    <hyperlink ref="D19:G19" location="'Fane 5. Kontrol af ØR2020'!A1" display="Kontrol af den økonomiske ramme for 2019" xr:uid="{00000000-0004-0000-0000-000008000000}"/>
    <hyperlink ref="D25:G25" location="'Fane 10. Nøgletal'!A1" display="Nøgletal" xr:uid="{00000000-0004-0000-0000-000009000000}"/>
    <hyperlink ref="D17:G17" location="'Fane 3. Omkostninger i ØR2021'!A1" display="Omkostninger i ØR2020" xr:uid="{00000000-0004-0000-0000-00000A000000}"/>
    <hyperlink ref="D22:G22" location="'Fane 7.2. Engangstillæg'!A1" display="Engangstillæg" xr:uid="{00000000-0004-0000-0000-00000B000000}"/>
    <hyperlink ref="D20:G20" location="'Fane 6. Anlægsprojekter'!A1" display="Anlægsprojekter" xr:uid="{00000000-0004-0000-0000-00000C000000}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G49"/>
  <sheetViews>
    <sheetView showGridLines="0" view="pageLayout" zoomScaleNormal="100" workbookViewId="0">
      <selection activeCell="B11" sqref="B11"/>
    </sheetView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2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2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20" t="s">
        <v>152</v>
      </c>
      <c r="C11" s="19">
        <v>61930</v>
      </c>
      <c r="D11" s="12" t="s">
        <v>3</v>
      </c>
      <c r="E11" s="8">
        <v>18199</v>
      </c>
      <c r="F11" s="12" t="s">
        <v>3</v>
      </c>
      <c r="G11" s="1"/>
    </row>
    <row r="12" spans="1:7" x14ac:dyDescent="0.25">
      <c r="A12" s="1"/>
      <c r="B12" s="56" t="s">
        <v>69</v>
      </c>
      <c r="C12" s="10">
        <f>SUM(C10:C11)</f>
        <v>61930</v>
      </c>
      <c r="D12" s="11" t="s">
        <v>3</v>
      </c>
      <c r="E12" s="10">
        <f>SUM(E10:E11)</f>
        <v>18199</v>
      </c>
      <c r="F12" s="11" t="s">
        <v>3</v>
      </c>
      <c r="G12" s="1"/>
    </row>
    <row r="13" spans="1:7" x14ac:dyDescent="0.25">
      <c r="A13" s="1"/>
      <c r="B13" s="56" t="s">
        <v>110</v>
      </c>
      <c r="C13" s="10">
        <f>C12*(1+'Fane 10. Nøgletal'!C14)</f>
        <v>62134.369000000006</v>
      </c>
      <c r="D13" s="11" t="s">
        <v>3</v>
      </c>
      <c r="E13" s="10">
        <f>E12*(1+'Fane 10. Nøgletal'!C14)</f>
        <v>18259.056700000001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Y89WC6dO8kALXH8lOqgPpRDNADTkJVR1FE9qJtK4S9dT7rHNEN9T8Gbi0ki32mm0LTQQY6aZSR9DXK9cySv14g==" saltValue="ngfx/vdMKpLLsg0JbjzOPQ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51</v>
      </c>
      <c r="C8" s="89"/>
      <c r="D8" s="89"/>
      <c r="E8" s="89"/>
      <c r="F8" s="90"/>
      <c r="G8" s="1"/>
    </row>
    <row r="9" spans="1:7" x14ac:dyDescent="0.2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2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2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8" t="s">
        <v>52</v>
      </c>
      <c r="C15" s="89"/>
      <c r="D15" s="89"/>
      <c r="E15" s="89"/>
      <c r="F15" s="90"/>
      <c r="G15" s="1"/>
    </row>
    <row r="16" spans="1:7" x14ac:dyDescent="0.2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2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2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8" t="s">
        <v>77</v>
      </c>
      <c r="C22" s="89"/>
      <c r="D22" s="89"/>
      <c r="E22" s="89"/>
      <c r="F22" s="90"/>
      <c r="G22" s="1"/>
    </row>
    <row r="23" spans="1:7" x14ac:dyDescent="0.2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2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2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8" t="s">
        <v>112</v>
      </c>
      <c r="C29" s="89"/>
      <c r="D29" s="89"/>
      <c r="E29" s="89"/>
      <c r="F29" s="90"/>
      <c r="G29" s="1"/>
    </row>
    <row r="30" spans="1:7" x14ac:dyDescent="0.2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2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2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4R4wCWTCDbBkkE85pmjv6SYWeZQVuO2yahn0uWKkmVx3BPIFy+0H8lIzXKqxrTwAm4iqq3d5Ns7AjuHtq05oqQ==" saltValue="AzuAZ0kmiOngKGX1sxtCxA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91</v>
      </c>
      <c r="C3" s="75"/>
      <c r="D3" s="75"/>
      <c r="E3" s="75"/>
      <c r="F3" s="75"/>
      <c r="G3" s="1"/>
    </row>
    <row r="4" spans="1:7" ht="25.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25">
      <c r="A9" s="1"/>
      <c r="B9" s="54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2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o4dHOG/srtNB0AUWU2U+rn25C7/djbTIWQnzEfcGcKgn3GsV8X4jmZXyt8Lfw7xvYgfmU/g2d5ek12sWcL0DyQ==" saltValue="YobetKNdqEL298L7V2/3PA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92</v>
      </c>
      <c r="C3" s="75"/>
      <c r="D3" s="75"/>
      <c r="E3" s="75"/>
      <c r="F3" s="75"/>
      <c r="G3" s="1"/>
    </row>
    <row r="4" spans="1:7" ht="25.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2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25">
      <c r="A10" s="1"/>
      <c r="B10" s="20" t="s">
        <v>133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8" t="s">
        <v>49</v>
      </c>
      <c r="C14" s="89"/>
      <c r="D14" s="89"/>
      <c r="E14" s="89"/>
      <c r="F14" s="90"/>
      <c r="G14" s="1"/>
    </row>
    <row r="15" spans="1:7" ht="26.25" x14ac:dyDescent="0.2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25">
      <c r="A16" s="1"/>
      <c r="B16" s="20" t="s">
        <v>133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8" t="s">
        <v>73</v>
      </c>
      <c r="C20" s="89"/>
      <c r="D20" s="89"/>
      <c r="E20" s="89"/>
      <c r="F20" s="90"/>
      <c r="G20" s="1"/>
    </row>
    <row r="21" spans="1:7" ht="26.25" x14ac:dyDescent="0.2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25">
      <c r="A22" s="1"/>
      <c r="B22" s="20" t="s">
        <v>133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8" t="s">
        <v>116</v>
      </c>
      <c r="C26" s="89"/>
      <c r="D26" s="89"/>
      <c r="E26" s="89"/>
      <c r="F26" s="90"/>
      <c r="G26" s="1"/>
    </row>
    <row r="27" spans="1:7" ht="26.25" x14ac:dyDescent="0.2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25">
      <c r="A28" s="1"/>
      <c r="B28" s="20" t="s">
        <v>133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uzQjJ6oWQQRCpwymUK5d7Pk2bW5Mk3Pyl9sGYg+nMAvAn6iWlbQOMCxrf98wJEi5N1mXAFqryHO3pm23Lq0hcQ==" saltValue="eb+goUzpI9wd/ydz3KILUQ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3"/>
  <dimension ref="A1:D49"/>
  <sheetViews>
    <sheetView showGridLines="0" view="pageLayout" topLeftCell="A43" zoomScaleNormal="100" workbookViewId="0">
      <selection activeCell="A48" sqref="A48:XFD48"/>
    </sheetView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5" t="s">
        <v>93</v>
      </c>
      <c r="C3" s="75"/>
      <c r="D3" s="1"/>
    </row>
    <row r="4" spans="1:4" ht="25.5" customHeight="1" x14ac:dyDescent="0.25">
      <c r="A4" s="1"/>
      <c r="B4" s="75"/>
      <c r="C4" s="7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6" t="s">
        <v>14</v>
      </c>
      <c r="C8" s="57"/>
      <c r="D8" s="1"/>
    </row>
    <row r="9" spans="1:4" x14ac:dyDescent="0.25">
      <c r="A9" s="1"/>
      <c r="B9" s="28" t="s">
        <v>127</v>
      </c>
      <c r="C9" s="21">
        <v>1.2699999999999999E-2</v>
      </c>
      <c r="D9" s="1"/>
    </row>
    <row r="10" spans="1:4" x14ac:dyDescent="0.25">
      <c r="A10" s="1"/>
      <c r="B10" s="28" t="s">
        <v>118</v>
      </c>
      <c r="C10" s="21">
        <v>1.7500000000000002E-2</v>
      </c>
      <c r="D10" s="1"/>
    </row>
    <row r="11" spans="1:4" x14ac:dyDescent="0.25">
      <c r="A11" s="1"/>
      <c r="B11" s="28" t="s">
        <v>22</v>
      </c>
      <c r="C11" s="21">
        <v>1.6899999999999998E-2</v>
      </c>
      <c r="D11" s="1"/>
    </row>
    <row r="12" spans="1:4" x14ac:dyDescent="0.25">
      <c r="A12" s="1"/>
      <c r="B12" s="28" t="s">
        <v>36</v>
      </c>
      <c r="C12" s="21">
        <v>1.9699999999999999E-2</v>
      </c>
      <c r="D12" s="1"/>
    </row>
    <row r="13" spans="1:4" x14ac:dyDescent="0.25">
      <c r="A13" s="1"/>
      <c r="B13" s="30" t="s">
        <v>74</v>
      </c>
      <c r="C13" s="31">
        <v>1.2200000000000001E-2</v>
      </c>
      <c r="D13" s="1"/>
    </row>
    <row r="14" spans="1:4" x14ac:dyDescent="0.25">
      <c r="A14" s="1"/>
      <c r="B14" s="30" t="s">
        <v>119</v>
      </c>
      <c r="C14" s="31">
        <v>3.3E-3</v>
      </c>
      <c r="D14" s="1"/>
    </row>
    <row r="15" spans="1:4" x14ac:dyDescent="0.25">
      <c r="A15" s="1"/>
      <c r="B15" s="56"/>
      <c r="C15" s="5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6" t="s">
        <v>54</v>
      </c>
      <c r="C18" s="57"/>
      <c r="D18" s="1"/>
    </row>
    <row r="19" spans="1:4" x14ac:dyDescent="0.25">
      <c r="A19" s="1"/>
      <c r="B19" s="28" t="s">
        <v>58</v>
      </c>
      <c r="C19" s="21">
        <v>1.7000000000000001E-2</v>
      </c>
      <c r="D19" s="1"/>
    </row>
    <row r="20" spans="1:4" x14ac:dyDescent="0.25">
      <c r="A20" s="1"/>
      <c r="B20" s="106"/>
      <c r="C20" s="107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49A01qA8nh2awvvpzC455hCmWi7To9W+ayRJllES04Bnl8767lWBC3PwgfONLABh4Eh6f1jcOMMU5CBLvHNiAw==" saltValue="f9uUUmvbmGgY5jGKAysAsQ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G49"/>
  <sheetViews>
    <sheetView showGridLines="0" view="pageLayout" topLeftCell="A4" zoomScaleNormal="100" workbookViewId="0">
      <selection activeCell="B37" sqref="B37"/>
    </sheetView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</v>
      </c>
      <c r="C8" s="40"/>
      <c r="D8" s="40"/>
      <c r="E8" s="40"/>
      <c r="F8" s="40"/>
      <c r="G8" s="1"/>
    </row>
    <row r="9" spans="1:7" x14ac:dyDescent="0.25">
      <c r="A9" s="1"/>
      <c r="B9" s="46" t="s">
        <v>24</v>
      </c>
      <c r="C9" s="46"/>
      <c r="D9" s="46"/>
      <c r="E9" s="7">
        <f>'Fane 3. Omkostninger i ØR2021'!E16</f>
        <v>3036060.8771502348</v>
      </c>
      <c r="F9" s="46" t="s">
        <v>3</v>
      </c>
      <c r="G9" s="1"/>
    </row>
    <row r="10" spans="1:7" ht="17.100000000000001" customHeight="1" x14ac:dyDescent="0.25">
      <c r="A10" s="1"/>
      <c r="B10" s="33" t="s">
        <v>121</v>
      </c>
      <c r="C10" s="46"/>
      <c r="D10" s="46"/>
      <c r="E10" s="7">
        <f>'Fane 3. Omkostninger i ØR2021'!E13*(1-'Fane 10. Nøgletal'!C19)*(1+'Fane 10. Nøgletal'!C13)</f>
        <v>0</v>
      </c>
      <c r="F10" s="46" t="s">
        <v>3</v>
      </c>
      <c r="G10" s="1"/>
    </row>
    <row r="11" spans="1:7" ht="17.100000000000001" customHeight="1" x14ac:dyDescent="0.25">
      <c r="A11" s="1"/>
      <c r="B11" s="29" t="s">
        <v>60</v>
      </c>
      <c r="C11" s="46"/>
      <c r="D11" s="46"/>
      <c r="E11" s="7">
        <f>'Fane 7.1. Varige tillæg'!C13+'Fane 7.1. Varige tillæg'!E13</f>
        <v>80393.425700000007</v>
      </c>
      <c r="F11" s="46" t="s">
        <v>3</v>
      </c>
      <c r="G11" s="1"/>
    </row>
    <row r="12" spans="1:7" ht="17.100000000000001" customHeight="1" x14ac:dyDescent="0.25">
      <c r="A12" s="1"/>
      <c r="B12" s="29" t="s">
        <v>62</v>
      </c>
      <c r="C12" s="46"/>
      <c r="D12" s="46"/>
      <c r="E12" s="8">
        <f>-('Fane 9. Bortfald'!C12+'Fane 9. Bortfald'!E12)</f>
        <v>0</v>
      </c>
      <c r="F12" s="46" t="s">
        <v>3</v>
      </c>
      <c r="G12" s="1"/>
    </row>
    <row r="13" spans="1:7" ht="17.100000000000001" customHeight="1" x14ac:dyDescent="0.25">
      <c r="A13" s="1"/>
      <c r="B13" s="29" t="s">
        <v>65</v>
      </c>
      <c r="C13" s="46"/>
      <c r="D13" s="46"/>
      <c r="E13" s="8">
        <f>'Fane 8. Tilknyttet virksomhed'!C12+'Fane 8. Tilknyttet virksomhed'!E12</f>
        <v>0</v>
      </c>
      <c r="F13" s="46" t="s">
        <v>3</v>
      </c>
      <c r="G13" s="1"/>
    </row>
    <row r="14" spans="1:7" ht="17.100000000000001" customHeight="1" x14ac:dyDescent="0.25">
      <c r="A14" s="1"/>
      <c r="B14" s="29" t="s">
        <v>18</v>
      </c>
      <c r="C14" s="46"/>
      <c r="D14" s="46"/>
      <c r="E14" s="8">
        <f>E9*'Fane 10. Nøgletal'!C13+SUM(E11:E13)*'Fane 10. Nøgletal'!C14</f>
        <v>37305.241006042867</v>
      </c>
      <c r="F14" s="46" t="s">
        <v>3</v>
      </c>
      <c r="G14" s="1"/>
    </row>
    <row r="15" spans="1:7" ht="17.100000000000001" customHeight="1" x14ac:dyDescent="0.25">
      <c r="A15" s="1"/>
      <c r="B15" s="29" t="s">
        <v>54</v>
      </c>
      <c r="C15" s="46"/>
      <c r="D15" s="46"/>
      <c r="E15" s="8">
        <f>-SUM(E9,E11:E14)*'Fane 10. Nøgletal'!C19</f>
        <v>-53613.912245556719</v>
      </c>
      <c r="F15" s="46" t="s">
        <v>3</v>
      </c>
      <c r="G15" s="1"/>
    </row>
    <row r="16" spans="1:7" ht="15" customHeight="1" x14ac:dyDescent="0.25">
      <c r="A16" s="1"/>
      <c r="B16" s="50" t="s">
        <v>20</v>
      </c>
      <c r="C16" s="39"/>
      <c r="D16" s="39"/>
      <c r="E16" s="9">
        <f>SUM(E9,E11:E15)</f>
        <v>3100145.6316107209</v>
      </c>
      <c r="F16" s="41" t="s">
        <v>3</v>
      </c>
      <c r="G16" s="1"/>
    </row>
    <row r="17" spans="1:7" ht="15" customHeight="1" x14ac:dyDescent="0.2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25">
      <c r="A18" s="1"/>
      <c r="B18" s="41" t="s">
        <v>12</v>
      </c>
      <c r="C18" s="41"/>
      <c r="D18" s="41"/>
      <c r="E18" s="9">
        <f>'Fane 4. Ikke-påvirkelige omk.'!C14</f>
        <v>1433077.6993227403</v>
      </c>
      <c r="F18" s="41" t="s">
        <v>3</v>
      </c>
      <c r="G18" s="1"/>
    </row>
    <row r="19" spans="1:7" ht="15" customHeight="1" x14ac:dyDescent="0.2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25">
      <c r="A20" s="1"/>
      <c r="B20" s="29" t="s">
        <v>39</v>
      </c>
      <c r="C20" s="46"/>
      <c r="D20" s="46"/>
      <c r="E20" s="8">
        <f>'Fane 7.2. Engangstillæg'!C13</f>
        <v>0</v>
      </c>
      <c r="F20" s="46" t="s">
        <v>3</v>
      </c>
      <c r="G20" s="1"/>
    </row>
    <row r="21" spans="1:7" x14ac:dyDescent="0.25">
      <c r="A21" s="1"/>
      <c r="B21" s="29" t="s">
        <v>40</v>
      </c>
      <c r="C21" s="46"/>
      <c r="D21" s="46"/>
      <c r="E21" s="8">
        <f>'Fane 7.2. Engangstillæg'!E13</f>
        <v>0</v>
      </c>
      <c r="F21" s="46" t="s">
        <v>3</v>
      </c>
      <c r="G21" s="1"/>
    </row>
    <row r="22" spans="1:7" ht="15" customHeight="1" x14ac:dyDescent="0.25">
      <c r="A22" s="1"/>
      <c r="B22" s="50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25">
      <c r="A23" s="1"/>
      <c r="B23" s="40" t="s">
        <v>85</v>
      </c>
      <c r="C23" s="40"/>
      <c r="D23" s="40"/>
      <c r="E23" s="40"/>
      <c r="F23" s="40"/>
      <c r="G23" s="1"/>
    </row>
    <row r="24" spans="1:7" x14ac:dyDescent="0.25">
      <c r="A24" s="1"/>
      <c r="B24" s="50" t="s">
        <v>31</v>
      </c>
      <c r="C24" s="39"/>
      <c r="D24" s="39"/>
      <c r="E24" s="9">
        <v>-92224.497294608373</v>
      </c>
      <c r="F24" s="41" t="s">
        <v>3</v>
      </c>
      <c r="G24" s="1"/>
    </row>
    <row r="25" spans="1:7" x14ac:dyDescent="0.25">
      <c r="A25" s="1"/>
      <c r="B25" s="50" t="s">
        <v>86</v>
      </c>
      <c r="C25" s="39"/>
      <c r="D25" s="39"/>
      <c r="E25" s="9">
        <f>'Fane 5. Kontrol af ØR2020'!E29</f>
        <v>0</v>
      </c>
      <c r="F25" s="41" t="s">
        <v>3</v>
      </c>
      <c r="G25" s="1"/>
    </row>
    <row r="26" spans="1:7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41" t="s">
        <v>148</v>
      </c>
      <c r="C27" s="41"/>
      <c r="D27" s="41"/>
      <c r="E27" s="9">
        <v>0</v>
      </c>
      <c r="F27" s="41" t="s">
        <v>3</v>
      </c>
      <c r="G27" s="1"/>
    </row>
    <row r="28" spans="1:7" x14ac:dyDescent="0.25">
      <c r="A28" s="1"/>
      <c r="B28" s="40" t="s">
        <v>26</v>
      </c>
      <c r="C28" s="40"/>
      <c r="D28" s="40"/>
      <c r="E28" s="10">
        <f>SUM(E16,E18,E22,E24,E25,E27)</f>
        <v>4440998.8336388525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JM9KPZEfjgPeA0sRuaZ1K3Jved1eybnC4RBW+pfIom7Y3SQ0LPdTVNRzZGecxRlvbyWBkfnvDbbp66wPxpE2w==" saltValue="1xtN+r6YKwYCI5Wv4w7h5g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G48"/>
  <sheetViews>
    <sheetView showGridLines="0" view="pageLayout" zoomScaleNormal="100" workbookViewId="0">
      <selection activeCell="E12" sqref="E12"/>
    </sheetView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101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25">
      <c r="A9" s="1"/>
      <c r="B9" s="46" t="s">
        <v>66</v>
      </c>
      <c r="C9" s="46"/>
      <c r="D9" s="46"/>
      <c r="E9" s="7">
        <f>'Fane 2.1. Økonomisk ramme 2022'!E16</f>
        <v>3100145.6316107209</v>
      </c>
      <c r="F9" s="46" t="s">
        <v>3</v>
      </c>
      <c r="G9" s="1"/>
    </row>
    <row r="10" spans="1:7" ht="15" customHeight="1" x14ac:dyDescent="0.25">
      <c r="A10" s="1"/>
      <c r="B10" s="29" t="s">
        <v>62</v>
      </c>
      <c r="C10" s="46"/>
      <c r="D10" s="46"/>
      <c r="E10" s="7">
        <f>-('Fane 9. Bortfald'!C18+'Fane 9. Bortfald'!E18)</f>
        <v>0</v>
      </c>
      <c r="F10" s="46" t="s">
        <v>3</v>
      </c>
      <c r="G10" s="1"/>
    </row>
    <row r="11" spans="1:7" ht="15" customHeight="1" x14ac:dyDescent="0.25">
      <c r="A11" s="1"/>
      <c r="B11" s="38" t="s">
        <v>18</v>
      </c>
      <c r="C11" s="46"/>
      <c r="D11" s="46"/>
      <c r="E11" s="8">
        <f>SUM(E9:E10)*'Fane 10. Nøgletal'!C14</f>
        <v>10230.480584315379</v>
      </c>
      <c r="F11" s="46" t="s">
        <v>3</v>
      </c>
      <c r="G11" s="1"/>
    </row>
    <row r="12" spans="1:7" ht="15" customHeight="1" x14ac:dyDescent="0.25">
      <c r="A12" s="1"/>
      <c r="B12" s="38" t="s">
        <v>54</v>
      </c>
      <c r="C12" s="46"/>
      <c r="D12" s="46"/>
      <c r="E12" s="8">
        <f>-SUM(E9:E11)*'Fane 10. Nøgletal'!C19</f>
        <v>-52876.393907315622</v>
      </c>
      <c r="F12" s="46" t="s">
        <v>3</v>
      </c>
      <c r="G12" s="1"/>
    </row>
    <row r="13" spans="1:7" ht="15" customHeight="1" x14ac:dyDescent="0.25">
      <c r="A13" s="1"/>
      <c r="B13" s="39" t="s">
        <v>20</v>
      </c>
      <c r="C13" s="39"/>
      <c r="D13" s="39"/>
      <c r="E13" s="9">
        <f>SUM(E9:E12)</f>
        <v>3057499.7182877208</v>
      </c>
      <c r="F13" s="41" t="s">
        <v>3</v>
      </c>
      <c r="G13" s="1"/>
    </row>
    <row r="14" spans="1:7" x14ac:dyDescent="0.2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25">
      <c r="A15" s="1"/>
      <c r="B15" s="41" t="s">
        <v>12</v>
      </c>
      <c r="C15" s="41"/>
      <c r="D15" s="41"/>
      <c r="E15" s="9">
        <f>'Fane 4. Ikke-påvirkelige omk.'!C14*(1+'Fane 10. Nøgletal'!C14)</f>
        <v>1437806.8557305054</v>
      </c>
      <c r="F15" s="41" t="s">
        <v>3</v>
      </c>
      <c r="G15" s="1"/>
    </row>
    <row r="16" spans="1:7" ht="15" customHeight="1" x14ac:dyDescent="0.2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25">
      <c r="A17" s="1"/>
      <c r="B17" s="29" t="s">
        <v>39</v>
      </c>
      <c r="C17" s="46"/>
      <c r="D17" s="46"/>
      <c r="E17" s="8">
        <f>'Fane 7.2. Engangstillæg'!C20</f>
        <v>0</v>
      </c>
      <c r="F17" s="46" t="s">
        <v>3</v>
      </c>
      <c r="G17" s="1"/>
    </row>
    <row r="18" spans="1:7" ht="15" customHeight="1" x14ac:dyDescent="0.25">
      <c r="A18" s="1"/>
      <c r="B18" s="29" t="s">
        <v>40</v>
      </c>
      <c r="C18" s="46"/>
      <c r="D18" s="46"/>
      <c r="E18" s="8">
        <f>'Fane 7.2. Engangstillæg'!E20</f>
        <v>0</v>
      </c>
      <c r="F18" s="46" t="s">
        <v>3</v>
      </c>
      <c r="G18" s="1"/>
    </row>
    <row r="19" spans="1:7" ht="15" customHeight="1" x14ac:dyDescent="0.25">
      <c r="A19" s="1"/>
      <c r="B19" s="50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25">
      <c r="A20" s="1"/>
      <c r="B20" s="40" t="s">
        <v>85</v>
      </c>
      <c r="C20" s="40"/>
      <c r="D20" s="40"/>
      <c r="E20" s="40"/>
      <c r="F20" s="40"/>
      <c r="G20" s="1"/>
    </row>
    <row r="21" spans="1:7" x14ac:dyDescent="0.25">
      <c r="A21" s="1"/>
      <c r="B21" s="41" t="s">
        <v>149</v>
      </c>
      <c r="C21" s="41"/>
      <c r="D21" s="41"/>
      <c r="E21" s="9">
        <f>'Fane 5. Kontrol af ØR2020'!E35</f>
        <v>0</v>
      </c>
      <c r="F21" s="41" t="s">
        <v>3</v>
      </c>
      <c r="G21" s="1"/>
    </row>
    <row r="22" spans="1:7" x14ac:dyDescent="0.25">
      <c r="A22" s="1"/>
      <c r="B22" s="40" t="s">
        <v>47</v>
      </c>
      <c r="C22" s="40"/>
      <c r="D22" s="40"/>
      <c r="E22" s="10">
        <f>SUM(E13,E15,E19,E21)</f>
        <v>4495306.574018226</v>
      </c>
      <c r="F22" s="11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UpPVfxhlO+GySa1+XHhk9xzMD8rJHiv0HIArNr1i5v24NaxFik4VEM2iQVh+ATmRciSe5CDCuYWoiNeV6HyvUA==" saltValue="LbPYnawYeY9GNvFqEHxTn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3"/>
  <dimension ref="A1:G50"/>
  <sheetViews>
    <sheetView showGridLines="0" view="pageLayout" zoomScaleNormal="100" workbookViewId="0">
      <selection activeCell="B36" sqref="B36"/>
    </sheetView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21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25">
      <c r="A8" s="1"/>
      <c r="B8" s="46" t="s">
        <v>67</v>
      </c>
      <c r="C8" s="46"/>
      <c r="D8" s="46"/>
      <c r="E8" s="7">
        <f>'Fane 2.2. Økonomisk ramme 2023'!E13</f>
        <v>3057499.7182877208</v>
      </c>
      <c r="F8" s="46" t="s">
        <v>3</v>
      </c>
      <c r="G8" s="1"/>
    </row>
    <row r="9" spans="1:7" ht="15" customHeight="1" x14ac:dyDescent="0.25">
      <c r="A9" s="1"/>
      <c r="B9" s="46" t="s">
        <v>62</v>
      </c>
      <c r="C9" s="46"/>
      <c r="D9" s="46"/>
      <c r="E9" s="7">
        <f>-('Fane 9. Bortfald'!C24+'Fane 9. Bortfald'!E24)</f>
        <v>0</v>
      </c>
      <c r="F9" s="46" t="s">
        <v>3</v>
      </c>
      <c r="G9" s="1"/>
    </row>
    <row r="10" spans="1:7" ht="15" customHeight="1" x14ac:dyDescent="0.25">
      <c r="A10" s="1"/>
      <c r="B10" s="38" t="s">
        <v>18</v>
      </c>
      <c r="C10" s="46"/>
      <c r="D10" s="46"/>
      <c r="E10" s="8">
        <f>SUM(E8:E9)*'Fane 10. Nøgletal'!C14</f>
        <v>10089.749070349479</v>
      </c>
      <c r="F10" s="46" t="s">
        <v>3</v>
      </c>
      <c r="G10" s="1"/>
    </row>
    <row r="11" spans="1:7" ht="15" customHeight="1" x14ac:dyDescent="0.25">
      <c r="A11" s="1"/>
      <c r="B11" s="38" t="s">
        <v>54</v>
      </c>
      <c r="C11" s="46"/>
      <c r="D11" s="46"/>
      <c r="E11" s="8">
        <f>-SUM(E8:E10)*'Fane 10. Nøgletal'!C19</f>
        <v>-52149.020945087199</v>
      </c>
      <c r="F11" s="46" t="s">
        <v>3</v>
      </c>
      <c r="G11" s="1"/>
    </row>
    <row r="12" spans="1:7" x14ac:dyDescent="0.25">
      <c r="A12" s="1"/>
      <c r="B12" s="39" t="s">
        <v>20</v>
      </c>
      <c r="C12" s="39"/>
      <c r="D12" s="39"/>
      <c r="E12" s="9">
        <f>SUM(E8:E11)</f>
        <v>3015440.4464129834</v>
      </c>
      <c r="F12" s="41" t="s">
        <v>3</v>
      </c>
      <c r="G12" s="1"/>
    </row>
    <row r="13" spans="1:7" x14ac:dyDescent="0.2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25">
      <c r="A14" s="1"/>
      <c r="B14" s="41" t="s">
        <v>12</v>
      </c>
      <c r="C14" s="41"/>
      <c r="D14" s="41"/>
      <c r="E14" s="9">
        <f>'Fane 4. Ikke-påvirkelige omk.'!C14*(1+'Fane 10. Nøgletal'!C14)^2</f>
        <v>1442551.6183544162</v>
      </c>
      <c r="F14" s="41" t="s">
        <v>3</v>
      </c>
      <c r="G14" s="1"/>
    </row>
    <row r="15" spans="1:7" ht="15" customHeight="1" x14ac:dyDescent="0.2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25">
      <c r="A16" s="1"/>
      <c r="B16" s="29" t="s">
        <v>39</v>
      </c>
      <c r="C16" s="46"/>
      <c r="D16" s="46"/>
      <c r="E16" s="8">
        <f>'Fane 7.2. Engangstillæg'!C27</f>
        <v>0</v>
      </c>
      <c r="F16" s="46" t="s">
        <v>3</v>
      </c>
      <c r="G16" s="1"/>
    </row>
    <row r="17" spans="1:7" ht="15" customHeight="1" x14ac:dyDescent="0.25">
      <c r="A17" s="1"/>
      <c r="B17" s="29" t="s">
        <v>40</v>
      </c>
      <c r="C17" s="46"/>
      <c r="D17" s="46"/>
      <c r="E17" s="8">
        <f>'Fane 7.2. Engangstillæg'!E27</f>
        <v>0</v>
      </c>
      <c r="F17" s="46" t="s">
        <v>3</v>
      </c>
      <c r="G17" s="1"/>
    </row>
    <row r="18" spans="1:7" ht="15" customHeight="1" x14ac:dyDescent="0.2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2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2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25">
      <c r="A21" s="1"/>
      <c r="B21" s="40" t="s">
        <v>68</v>
      </c>
      <c r="C21" s="40"/>
      <c r="D21" s="40"/>
      <c r="E21" s="10">
        <f>SUM(E12,E14,E18,E20)</f>
        <v>4457992.0647673998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VWnj0tzVmsAnU1hhNx1mh94WmarNwTWJ07V9s5zANjzjkskuaE2uGJLrjSX2EPjL4BvVZjANCCmVl3FBqW7TKA==" saltValue="mhBeAzgqVPp3JbxoXxvBW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6"/>
  <dimension ref="A1:G50"/>
  <sheetViews>
    <sheetView showGridLines="0" tabSelected="1" view="pageLayout" zoomScaleNormal="100" workbookViewId="0">
      <selection activeCell="A50" sqref="A50:G50"/>
    </sheetView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21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25">
      <c r="A8" s="1"/>
      <c r="B8" s="46" t="s">
        <v>103</v>
      </c>
      <c r="C8" s="46"/>
      <c r="D8" s="46"/>
      <c r="E8" s="7">
        <f>'Fane 2.3. Økonomisk ramme 2024'!E12</f>
        <v>3015440.4464129834</v>
      </c>
      <c r="F8" s="46" t="s">
        <v>3</v>
      </c>
      <c r="G8" s="1"/>
    </row>
    <row r="9" spans="1:7" ht="15" customHeight="1" x14ac:dyDescent="0.25">
      <c r="A9" s="1"/>
      <c r="B9" s="46" t="s">
        <v>62</v>
      </c>
      <c r="C9" s="46"/>
      <c r="D9" s="46"/>
      <c r="E9" s="7">
        <f>-('Fane 9. Bortfald'!C30+'Fane 9. Bortfald'!E30)</f>
        <v>0</v>
      </c>
      <c r="F9" s="46" t="s">
        <v>3</v>
      </c>
      <c r="G9" s="1"/>
    </row>
    <row r="10" spans="1:7" ht="15" customHeight="1" x14ac:dyDescent="0.25">
      <c r="A10" s="1"/>
      <c r="B10" s="38" t="s">
        <v>18</v>
      </c>
      <c r="C10" s="46"/>
      <c r="D10" s="46"/>
      <c r="E10" s="8">
        <f>SUM(E8:E9)*'Fane 10. Nøgletal'!C14</f>
        <v>9950.9534731628446</v>
      </c>
      <c r="F10" s="46" t="s">
        <v>3</v>
      </c>
      <c r="G10" s="1"/>
    </row>
    <row r="11" spans="1:7" ht="15" customHeight="1" x14ac:dyDescent="0.25">
      <c r="A11" s="1"/>
      <c r="B11" s="38" t="s">
        <v>54</v>
      </c>
      <c r="C11" s="46"/>
      <c r="D11" s="46"/>
      <c r="E11" s="8">
        <f>-SUM(E8:E10)*'Fane 10. Nøgletal'!C19</f>
        <v>-51431.653798064486</v>
      </c>
      <c r="F11" s="46" t="s">
        <v>3</v>
      </c>
      <c r="G11" s="1"/>
    </row>
    <row r="12" spans="1:7" x14ac:dyDescent="0.25">
      <c r="A12" s="1"/>
      <c r="B12" s="39" t="s">
        <v>20</v>
      </c>
      <c r="C12" s="39"/>
      <c r="D12" s="39"/>
      <c r="E12" s="9">
        <f>SUM(E8:E11)</f>
        <v>2973959.7460880815</v>
      </c>
      <c r="F12" s="41" t="s">
        <v>3</v>
      </c>
      <c r="G12" s="1"/>
    </row>
    <row r="13" spans="1:7" x14ac:dyDescent="0.2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25">
      <c r="A14" s="1"/>
      <c r="B14" s="41" t="s">
        <v>12</v>
      </c>
      <c r="C14" s="41"/>
      <c r="D14" s="41"/>
      <c r="E14" s="9">
        <f>'Fane 4. Ikke-påvirkelige omk.'!C14*(1+'Fane 10. Nøgletal'!C14)^3</f>
        <v>1447312.0386949859</v>
      </c>
      <c r="F14" s="41" t="s">
        <v>3</v>
      </c>
      <c r="G14" s="1"/>
    </row>
    <row r="15" spans="1:7" ht="15" customHeight="1" x14ac:dyDescent="0.2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25">
      <c r="A16" s="1"/>
      <c r="B16" s="29" t="s">
        <v>39</v>
      </c>
      <c r="C16" s="46"/>
      <c r="D16" s="46"/>
      <c r="E16" s="8">
        <f>'Fane 7.2. Engangstillæg'!C34</f>
        <v>0</v>
      </c>
      <c r="F16" s="46" t="s">
        <v>3</v>
      </c>
      <c r="G16" s="1"/>
    </row>
    <row r="17" spans="1:7" ht="15" customHeight="1" x14ac:dyDescent="0.25">
      <c r="A17" s="1"/>
      <c r="B17" s="29" t="s">
        <v>40</v>
      </c>
      <c r="C17" s="46"/>
      <c r="D17" s="46"/>
      <c r="E17" s="8">
        <f>'Fane 7.2. Engangstillæg'!E34</f>
        <v>0</v>
      </c>
      <c r="F17" s="46" t="s">
        <v>3</v>
      </c>
      <c r="G17" s="1"/>
    </row>
    <row r="18" spans="1:7" ht="15" customHeight="1" x14ac:dyDescent="0.2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2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2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25">
      <c r="A21" s="1"/>
      <c r="B21" s="40" t="s">
        <v>104</v>
      </c>
      <c r="C21" s="40"/>
      <c r="D21" s="40"/>
      <c r="E21" s="10">
        <f>SUM(E12,E14,E18,E20)</f>
        <v>4421271.7847830672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80B3BVP6r1OwfVSm8c8RK/ZHtVZN2MnH7qgwr77nqOPOgqcIcJVhFhP8JaqBPNsXZ4RS20xfPBv9gDh9seQK9Q==" saltValue="SbxX1J89ClL870mX3rxUZ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7"/>
  <dimension ref="A1:G48"/>
  <sheetViews>
    <sheetView showGridLines="0" view="pageLayout" zoomScaleNormal="100" workbookViewId="0">
      <selection activeCell="A49" sqref="A49:XFD55"/>
    </sheetView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105</v>
      </c>
      <c r="C3" s="75"/>
      <c r="D3" s="75"/>
      <c r="E3" s="75"/>
      <c r="F3" s="75"/>
      <c r="G3" s="1"/>
    </row>
    <row r="4" spans="1:7" ht="29.2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126</v>
      </c>
      <c r="C8" s="40"/>
      <c r="D8" s="40"/>
      <c r="E8" s="40"/>
      <c r="F8" s="40"/>
      <c r="G8" s="1"/>
    </row>
    <row r="9" spans="1:7" x14ac:dyDescent="0.25">
      <c r="A9" s="1"/>
      <c r="B9" s="76" t="s">
        <v>23</v>
      </c>
      <c r="C9" s="76"/>
      <c r="D9" s="76"/>
      <c r="E9" s="7">
        <v>2910436.7264241786</v>
      </c>
      <c r="F9" s="46" t="s">
        <v>3</v>
      </c>
      <c r="G9" s="1"/>
    </row>
    <row r="10" spans="1:7" x14ac:dyDescent="0.25">
      <c r="A10" s="1"/>
      <c r="B10" s="77" t="s">
        <v>128</v>
      </c>
      <c r="C10" s="77"/>
      <c r="D10" s="77"/>
      <c r="E10" s="7">
        <v>140903.43143250776</v>
      </c>
      <c r="F10" s="46" t="s">
        <v>3</v>
      </c>
      <c r="G10" s="1"/>
    </row>
    <row r="11" spans="1:7" x14ac:dyDescent="0.25">
      <c r="A11" s="1"/>
      <c r="B11" s="77" t="s">
        <v>60</v>
      </c>
      <c r="C11" s="77"/>
      <c r="D11" s="77"/>
      <c r="E11" s="7">
        <v>0</v>
      </c>
      <c r="F11" s="46" t="s">
        <v>3</v>
      </c>
      <c r="G11" s="1"/>
    </row>
    <row r="12" spans="1:7" x14ac:dyDescent="0.25">
      <c r="A12" s="1"/>
      <c r="B12" s="77" t="s">
        <v>65</v>
      </c>
      <c r="C12" s="77"/>
      <c r="D12" s="77"/>
      <c r="E12" s="7">
        <v>0</v>
      </c>
      <c r="F12" s="46" t="s">
        <v>3</v>
      </c>
      <c r="G12" s="1"/>
    </row>
    <row r="13" spans="1:7" x14ac:dyDescent="0.25">
      <c r="A13" s="1"/>
      <c r="B13" s="77" t="s">
        <v>61</v>
      </c>
      <c r="C13" s="77"/>
      <c r="D13" s="77"/>
      <c r="E13" s="8">
        <v>0</v>
      </c>
      <c r="F13" s="46" t="s">
        <v>3</v>
      </c>
      <c r="G13" s="1"/>
    </row>
    <row r="14" spans="1:7" x14ac:dyDescent="0.25">
      <c r="A14" s="1"/>
      <c r="B14" s="77" t="s">
        <v>18</v>
      </c>
      <c r="C14" s="77"/>
      <c r="D14" s="77"/>
      <c r="E14" s="8">
        <f>SUM(E9:E13)*'Fane 10. Nøgletal'!C13</f>
        <v>37226.34992585158</v>
      </c>
      <c r="F14" s="46" t="s">
        <v>3</v>
      </c>
      <c r="G14" s="1"/>
    </row>
    <row r="15" spans="1:7" x14ac:dyDescent="0.25">
      <c r="A15" s="1"/>
      <c r="B15" s="77" t="s">
        <v>54</v>
      </c>
      <c r="C15" s="77"/>
      <c r="D15" s="77"/>
      <c r="E15" s="8">
        <f>-SUM(E9:E14)*'Fane 10. Nøgletal'!C19</f>
        <v>-52505.630632303146</v>
      </c>
      <c r="F15" s="46" t="s">
        <v>3</v>
      </c>
      <c r="G15" s="1"/>
    </row>
    <row r="16" spans="1:7" x14ac:dyDescent="0.25">
      <c r="A16" s="1"/>
      <c r="B16" s="79" t="s">
        <v>20</v>
      </c>
      <c r="C16" s="79"/>
      <c r="D16" s="79"/>
      <c r="E16" s="9">
        <f>SUM(E9:E15)</f>
        <v>3036060.8771502348</v>
      </c>
      <c r="F16" s="41" t="s">
        <v>3</v>
      </c>
      <c r="G16" s="1"/>
    </row>
    <row r="17" spans="1:7" x14ac:dyDescent="0.25">
      <c r="A17" s="1"/>
      <c r="B17" s="80" t="s">
        <v>12</v>
      </c>
      <c r="C17" s="80"/>
      <c r="D17" s="80"/>
      <c r="E17" s="40"/>
      <c r="F17" s="40"/>
      <c r="G17" s="1"/>
    </row>
    <row r="18" spans="1:7" x14ac:dyDescent="0.25">
      <c r="A18" s="1"/>
      <c r="B18" s="81" t="s">
        <v>12</v>
      </c>
      <c r="C18" s="81"/>
      <c r="D18" s="81"/>
      <c r="E18" s="9">
        <v>1517626.7262354002</v>
      </c>
      <c r="F18" s="41" t="s">
        <v>3</v>
      </c>
      <c r="G18" s="1"/>
    </row>
    <row r="19" spans="1:7" ht="15.4" customHeight="1" x14ac:dyDescent="0.2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25">
      <c r="A20" s="1"/>
      <c r="B20" s="82" t="s">
        <v>39</v>
      </c>
      <c r="C20" s="83"/>
      <c r="D20" s="84"/>
      <c r="E20" s="37">
        <v>0</v>
      </c>
      <c r="F20" s="32" t="s">
        <v>3</v>
      </c>
      <c r="G20" s="1"/>
    </row>
    <row r="21" spans="1:7" x14ac:dyDescent="0.25">
      <c r="A21" s="1"/>
      <c r="B21" s="82" t="s">
        <v>40</v>
      </c>
      <c r="C21" s="83"/>
      <c r="D21" s="84"/>
      <c r="E21" s="37">
        <v>0</v>
      </c>
      <c r="F21" s="32" t="s">
        <v>3</v>
      </c>
      <c r="G21" s="1"/>
    </row>
    <row r="22" spans="1:7" x14ac:dyDescent="0.25">
      <c r="A22" s="1"/>
      <c r="B22" s="85" t="s">
        <v>43</v>
      </c>
      <c r="C22" s="86"/>
      <c r="D22" s="87"/>
      <c r="E22" s="9">
        <v>0</v>
      </c>
      <c r="F22" s="9" t="s">
        <v>3</v>
      </c>
      <c r="G22" s="1"/>
    </row>
    <row r="23" spans="1:7" ht="15.75" customHeight="1" x14ac:dyDescent="0.25">
      <c r="A23" s="1"/>
      <c r="B23" s="40" t="s">
        <v>85</v>
      </c>
      <c r="C23" s="40"/>
      <c r="D23" s="40"/>
      <c r="E23" s="40"/>
      <c r="F23" s="40"/>
      <c r="G23" s="1"/>
    </row>
    <row r="24" spans="1:7" x14ac:dyDescent="0.25">
      <c r="A24" s="1"/>
      <c r="B24" s="50" t="s">
        <v>31</v>
      </c>
      <c r="C24" s="39"/>
      <c r="D24" s="39"/>
      <c r="E24" s="9">
        <v>-92224.497294608373</v>
      </c>
      <c r="F24" s="41" t="s">
        <v>3</v>
      </c>
      <c r="G24" s="1"/>
    </row>
    <row r="25" spans="1:7" x14ac:dyDescent="0.25">
      <c r="A25" s="1"/>
      <c r="B25" s="50" t="s">
        <v>86</v>
      </c>
      <c r="C25" s="39"/>
      <c r="D25" s="39"/>
      <c r="E25" s="9">
        <v>0</v>
      </c>
      <c r="F25" s="41" t="s">
        <v>3</v>
      </c>
      <c r="G25" s="1"/>
    </row>
    <row r="26" spans="1:7" ht="15" customHeight="1" x14ac:dyDescent="0.25">
      <c r="A26" s="1"/>
      <c r="B26" s="40" t="s">
        <v>25</v>
      </c>
      <c r="C26" s="40"/>
      <c r="D26" s="40"/>
      <c r="E26" s="10">
        <f>E16+E18+E22+E24+E25</f>
        <v>4461463.1060910262</v>
      </c>
      <c r="F26" s="11" t="s">
        <v>3</v>
      </c>
      <c r="G26" s="1"/>
    </row>
    <row r="27" spans="1:7" ht="27" customHeight="1" x14ac:dyDescent="0.25">
      <c r="A27" s="1"/>
      <c r="B27" s="78" t="s">
        <v>120</v>
      </c>
      <c r="C27" s="78"/>
      <c r="D27" s="78"/>
      <c r="E27" s="78"/>
      <c r="F27" s="78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slOk6SDD64ssDTlTl/aGgvMx3oSKQ7jxSvBSDUJsiAnaQckOKf0iA1aEaPyIB+JM+FFGOh4VbANQS6lfPXS1DQ==" saltValue="OMO5YNaLjSjP+FuOnA15kg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5"/>
  <dimension ref="A1:F50"/>
  <sheetViews>
    <sheetView showGridLines="0" view="pageLayout" zoomScaleNormal="100" workbookViewId="0">
      <selection activeCell="C13" sqref="C13"/>
    </sheetView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53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8" t="s">
        <v>107</v>
      </c>
      <c r="C8" s="89"/>
      <c r="D8" s="90"/>
      <c r="E8" s="1"/>
      <c r="F8" s="1"/>
    </row>
    <row r="9" spans="1:6" ht="15" customHeight="1" x14ac:dyDescent="0.25">
      <c r="A9" s="1"/>
      <c r="B9" s="17" t="s">
        <v>29</v>
      </c>
      <c r="C9" s="41" t="s">
        <v>106</v>
      </c>
      <c r="D9" s="41"/>
      <c r="E9" s="1"/>
      <c r="F9" s="1"/>
    </row>
    <row r="10" spans="1:6" x14ac:dyDescent="0.25">
      <c r="A10" s="1"/>
      <c r="B10" s="28" t="s">
        <v>131</v>
      </c>
      <c r="C10" s="8">
        <v>1390144</v>
      </c>
      <c r="D10" s="12" t="s">
        <v>3</v>
      </c>
      <c r="E10" s="1"/>
      <c r="F10" s="1"/>
    </row>
    <row r="11" spans="1:6" x14ac:dyDescent="0.25">
      <c r="A11" s="1"/>
      <c r="B11" s="28" t="s">
        <v>132</v>
      </c>
      <c r="C11" s="8">
        <v>4448</v>
      </c>
      <c r="D11" s="12" t="s">
        <v>3</v>
      </c>
      <c r="E11" s="1"/>
      <c r="F11" s="1"/>
    </row>
    <row r="12" spans="1:6" x14ac:dyDescent="0.25">
      <c r="A12" s="1"/>
      <c r="B12" s="28" t="s">
        <v>152</v>
      </c>
      <c r="C12" s="8">
        <v>29074</v>
      </c>
      <c r="D12" s="12" t="s">
        <v>3</v>
      </c>
      <c r="E12" s="1"/>
      <c r="F12" s="1"/>
    </row>
    <row r="13" spans="1:6" x14ac:dyDescent="0.25">
      <c r="A13" s="1"/>
      <c r="B13" s="56" t="s">
        <v>108</v>
      </c>
      <c r="C13" s="10">
        <f>SUM(C10:C12)</f>
        <v>1423666</v>
      </c>
      <c r="D13" s="11" t="s">
        <v>3</v>
      </c>
      <c r="E13" s="1"/>
      <c r="F13" s="1"/>
    </row>
    <row r="14" spans="1:6" x14ac:dyDescent="0.25">
      <c r="A14" s="1"/>
      <c r="B14" s="56" t="s">
        <v>109</v>
      </c>
      <c r="C14" s="10">
        <f>C13*(1+'Fane 10. Nøgletal'!C14)^2</f>
        <v>1433077.6993227403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L4F4BgywmahaAaCxT4JJ5N4I3jGnGooWBb98LVNgdDNCDfY8jMI30EisKVS0cUN7C8k58++z0Wyg0jxze2l/aw==" saltValue="slTi5eeQaCygPv6Wy3cU1w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5" t="s">
        <v>151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ht="15" customHeight="1" x14ac:dyDescent="0.25">
      <c r="A5" s="1"/>
      <c r="B5" s="45"/>
      <c r="C5" s="45"/>
      <c r="D5" s="45"/>
      <c r="E5" s="45"/>
      <c r="F5" s="45"/>
      <c r="G5" s="1"/>
    </row>
    <row r="6" spans="1:7" ht="15" customHeight="1" x14ac:dyDescent="0.25">
      <c r="A6" s="1"/>
      <c r="B6" s="45"/>
      <c r="C6" s="45"/>
      <c r="D6" s="45"/>
      <c r="E6" s="45"/>
      <c r="F6" s="45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134</v>
      </c>
      <c r="C8" s="89"/>
      <c r="D8" s="89"/>
      <c r="E8" s="89"/>
      <c r="F8" s="90"/>
      <c r="G8" s="1"/>
    </row>
    <row r="9" spans="1:7" x14ac:dyDescent="0.25">
      <c r="A9" s="1"/>
      <c r="B9" s="91" t="s">
        <v>135</v>
      </c>
      <c r="C9" s="92"/>
      <c r="D9" s="93"/>
      <c r="E9" s="8">
        <v>245629.42967256345</v>
      </c>
      <c r="F9" s="12" t="s">
        <v>3</v>
      </c>
      <c r="G9" s="1"/>
    </row>
    <row r="10" spans="1:7" x14ac:dyDescent="0.25">
      <c r="A10" s="1"/>
      <c r="B10" s="91" t="s">
        <v>136</v>
      </c>
      <c r="C10" s="92"/>
      <c r="D10" s="93"/>
      <c r="E10" s="8">
        <v>122020.65585617069</v>
      </c>
      <c r="F10" s="12" t="s">
        <v>3</v>
      </c>
      <c r="G10" s="1"/>
    </row>
    <row r="11" spans="1:7" x14ac:dyDescent="0.25">
      <c r="A11" s="1"/>
      <c r="B11" s="91" t="s">
        <v>137</v>
      </c>
      <c r="C11" s="92"/>
      <c r="D11" s="93"/>
      <c r="E11" s="8">
        <v>-105456.57090282068</v>
      </c>
      <c r="F11" s="12" t="s">
        <v>3</v>
      </c>
      <c r="G11" s="1"/>
    </row>
    <row r="12" spans="1:7" x14ac:dyDescent="0.25">
      <c r="A12" s="1"/>
      <c r="B12" s="56"/>
      <c r="C12" s="22"/>
      <c r="D12" s="22"/>
      <c r="E12" s="22"/>
      <c r="F12" s="57"/>
      <c r="G12" s="1"/>
    </row>
    <row r="13" spans="1:7" ht="51.75" customHeight="1" x14ac:dyDescent="0.25">
      <c r="A13" s="1"/>
      <c r="B13" s="94" t="s">
        <v>138</v>
      </c>
      <c r="C13" s="95"/>
      <c r="D13" s="95"/>
      <c r="E13" s="95"/>
      <c r="F13" s="96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8" t="s">
        <v>139</v>
      </c>
      <c r="C15" s="89"/>
      <c r="D15" s="89"/>
      <c r="E15" s="89"/>
      <c r="F15" s="90"/>
      <c r="G15" s="1"/>
    </row>
    <row r="16" spans="1:7" x14ac:dyDescent="0.25">
      <c r="A16" s="1"/>
      <c r="B16" s="91" t="s">
        <v>140</v>
      </c>
      <c r="C16" s="92"/>
      <c r="D16" s="93"/>
      <c r="E16" s="8">
        <v>0</v>
      </c>
      <c r="F16" s="12" t="s">
        <v>3</v>
      </c>
      <c r="G16" s="1"/>
    </row>
    <row r="17" spans="1:7" x14ac:dyDescent="0.25">
      <c r="A17" s="1"/>
      <c r="B17" s="91" t="s">
        <v>141</v>
      </c>
      <c r="C17" s="92"/>
      <c r="D17" s="93"/>
      <c r="E17" s="8">
        <v>0</v>
      </c>
      <c r="F17" s="12" t="s">
        <v>3</v>
      </c>
      <c r="G17" s="1"/>
    </row>
    <row r="18" spans="1:7" x14ac:dyDescent="0.25">
      <c r="A18" s="1"/>
      <c r="B18" s="56"/>
      <c r="C18" s="22"/>
      <c r="D18" s="22"/>
      <c r="E18" s="22"/>
      <c r="F18" s="57"/>
      <c r="G18" s="1"/>
    </row>
    <row r="19" spans="1:7" ht="29.25" customHeight="1" x14ac:dyDescent="0.25">
      <c r="A19" s="1"/>
      <c r="B19" s="94" t="s">
        <v>142</v>
      </c>
      <c r="C19" s="95"/>
      <c r="D19" s="95"/>
      <c r="E19" s="95"/>
      <c r="F19" s="96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47" t="s">
        <v>122</v>
      </c>
      <c r="C21" s="48"/>
      <c r="D21" s="48"/>
      <c r="E21" s="48"/>
      <c r="F21" s="49"/>
      <c r="G21" s="1"/>
    </row>
    <row r="22" spans="1:7" x14ac:dyDescent="0.25">
      <c r="A22" s="1"/>
      <c r="B22" s="51" t="s">
        <v>123</v>
      </c>
      <c r="C22" s="52"/>
      <c r="D22" s="53"/>
      <c r="E22" s="8">
        <v>3450539.7662103586</v>
      </c>
      <c r="F22" s="12" t="s">
        <v>3</v>
      </c>
      <c r="G22" s="1"/>
    </row>
    <row r="23" spans="1:7" x14ac:dyDescent="0.25">
      <c r="A23" s="1"/>
      <c r="B23" s="51" t="s">
        <v>124</v>
      </c>
      <c r="C23" s="52"/>
      <c r="D23" s="53"/>
      <c r="E23" s="8">
        <v>3693092</v>
      </c>
      <c r="F23" s="12" t="s">
        <v>3</v>
      </c>
      <c r="G23" s="1"/>
    </row>
    <row r="24" spans="1:7" x14ac:dyDescent="0.25">
      <c r="A24" s="1"/>
      <c r="B24" s="51" t="s">
        <v>30</v>
      </c>
      <c r="C24" s="52"/>
      <c r="D24" s="53"/>
      <c r="E24" s="8">
        <v>0</v>
      </c>
      <c r="F24" s="12" t="s">
        <v>3</v>
      </c>
      <c r="G24" s="1"/>
    </row>
    <row r="25" spans="1:7" x14ac:dyDescent="0.25">
      <c r="A25" s="1"/>
      <c r="B25" s="42" t="s">
        <v>125</v>
      </c>
      <c r="C25" s="43"/>
      <c r="D25" s="44"/>
      <c r="E25" s="34">
        <f>E22-(E23-E24)</f>
        <v>-242552.23378964141</v>
      </c>
      <c r="F25" s="15" t="s">
        <v>3</v>
      </c>
      <c r="G25" s="1"/>
    </row>
    <row r="26" spans="1:7" x14ac:dyDescent="0.25">
      <c r="A26" s="1"/>
      <c r="B26" s="56"/>
      <c r="C26" s="22"/>
      <c r="D26" s="22"/>
      <c r="E26" s="22"/>
      <c r="F26" s="57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88" t="s">
        <v>143</v>
      </c>
      <c r="C28" s="89"/>
      <c r="D28" s="89"/>
      <c r="E28" s="89"/>
      <c r="F28" s="90"/>
      <c r="G28" s="1"/>
    </row>
    <row r="29" spans="1:7" x14ac:dyDescent="0.25">
      <c r="A29" s="1"/>
      <c r="B29" s="85" t="s">
        <v>144</v>
      </c>
      <c r="C29" s="86"/>
      <c r="D29" s="87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25">
      <c r="A30" s="1"/>
      <c r="B30" s="88"/>
      <c r="C30" s="89"/>
      <c r="D30" s="89"/>
      <c r="E30" s="89"/>
      <c r="F30" s="90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8" t="s">
        <v>145</v>
      </c>
      <c r="C32" s="89"/>
      <c r="D32" s="89"/>
      <c r="E32" s="89"/>
      <c r="F32" s="90"/>
      <c r="G32" s="1"/>
    </row>
    <row r="33" spans="1:7" x14ac:dyDescent="0.25">
      <c r="A33" s="1"/>
      <c r="B33" s="101" t="s">
        <v>85</v>
      </c>
      <c r="C33" s="102"/>
      <c r="D33" s="103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25">
      <c r="A34" s="1"/>
      <c r="B34" s="101" t="s">
        <v>55</v>
      </c>
      <c r="C34" s="102"/>
      <c r="D34" s="103"/>
      <c r="E34" s="8">
        <v>4</v>
      </c>
      <c r="F34" s="12" t="s">
        <v>19</v>
      </c>
      <c r="G34" s="1"/>
    </row>
    <row r="35" spans="1:7" x14ac:dyDescent="0.25">
      <c r="A35" s="1"/>
      <c r="B35" s="100" t="s">
        <v>146</v>
      </c>
      <c r="C35" s="100"/>
      <c r="D35" s="100"/>
      <c r="E35" s="9">
        <f>E33/E34</f>
        <v>0</v>
      </c>
      <c r="F35" s="15" t="s">
        <v>3</v>
      </c>
      <c r="G35" s="1"/>
    </row>
    <row r="36" spans="1:7" x14ac:dyDescent="0.25">
      <c r="A36" s="1"/>
      <c r="B36" s="97"/>
      <c r="C36" s="98"/>
      <c r="D36" s="98"/>
      <c r="E36" s="98"/>
      <c r="F36" s="9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uUs/SFLry1zFI0Ppfjnsir780n5f2lJJFilJhvfh/cmp/NS+O8Cntvt+OxSuUPzN1QsDQTw5RuzcShaWThU/wQ==" saltValue="iVlCVKLmj/ChGHwS45o+fQ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5:D35"/>
    <mergeCell ref="B34:D34"/>
    <mergeCell ref="B33:D33"/>
    <mergeCell ref="B32:F32"/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46"/>
  <sheetViews>
    <sheetView showGridLines="0" view="pageLayout" topLeftCell="A16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5"/>
      <c r="I9" s="1"/>
    </row>
    <row r="10" spans="1:9" x14ac:dyDescent="0.25">
      <c r="A10" s="1"/>
      <c r="B10" s="35" t="s">
        <v>150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jQh1KO/jfRMv7mlTkfRiijZZPVb7k2jevapGVpfUTSjSeZShIZ2lz3v+rVunjpynXjsma3CzJMz1UIR89vCkng==" saltValue="qoD264AduerTNzQ8aC8gaA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Rikke Bachmann Jørgensen</cp:lastModifiedBy>
  <cp:lastPrinted>2016-06-14T12:57:30Z</cp:lastPrinted>
  <dcterms:created xsi:type="dcterms:W3CDTF">2016-06-02T08:51:18Z</dcterms:created>
  <dcterms:modified xsi:type="dcterms:W3CDTF">2023-09-14T07:30:21Z</dcterms:modified>
</cp:coreProperties>
</file>