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Greve Spildevand AS (S031)\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<sst xmlns="http://schemas.openxmlformats.org/spreadsheetml/2006/main" count="610" uniqueCount="290">
  <si>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</si>
  <si>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</si>
  <si>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</si>
  <si>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</si>
  <si>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</si>
  <si>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</si>
  <si>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</si>
  <si>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</si>
  <si>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</si>
  <si>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</si>
  <si>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</si>
  <si>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</si>
  <si>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</si>
  <si>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</si>
  <si>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</si>
  <si>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</si>
  <si>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</si>
  <si>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</si>
  <si>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</si>
  <si>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</si>
  <si>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</si>
  <si>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</si>
  <si>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</si>
  <si>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</si>
  <si>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</si>
  <si>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</si>
  <si>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</si>
  <si>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</si>
  <si>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</si>
  <si>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</si>
  <si>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</si>
  <si>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</si>
  <si>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</si>
  <si>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</si>
  <si>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</si>
  <si>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</si>
  <si>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</si>
  <si>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</si>
  <si>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</si>
  <si>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</si>
  <si>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</si>
  <si>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</si>
  <si>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</si>
  <si>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</si>
  <si>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</si>
  <si>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</si>
  <si>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</si>
  <si>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</si>
  <si>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</si>
  <si>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</si>
  <si>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</si>
  <si>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</si>
  <si>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</si>
  <si>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</si>
  <si>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</si>
  <si>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</si>
  <si>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</si>
  <si>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</si>
  <si>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</si>
  <si>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</si>
  <si>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</si>
  <si>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</si>
  <si>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</si>
  <si>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</si>
  <si>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</si>
  <si>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</si>
  <si>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</si>
  <si>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</si>
  <si>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</si>
  <si>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</si>
  <si>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</si>
  <si>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</si>
  <si>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</si>
  <si>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</si>
  <si>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</si>
  <si>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</si>
  <si>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</si>
  <si>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</si>
  <si>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</si>
  <si>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</si>
  <si>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</si>
  <si>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</si>
  <si>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</si>
  <si>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</si>
  <si>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</si>
  <si>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</si>
  <si>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</si>
  <si>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</si>
  <si>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</si>
  <si>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</si>
  <si>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</si>
  <si>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</si>
  <si>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</si>
  <si>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</si>
  <si>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</si>
  <si>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</si>
  <si>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</si>
  <si>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</si>
  <si>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</si>
  <si>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</si>
  <si>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</si>
  <si>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</si>
  <si>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</si>
  <si>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</si>
  <si>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</si>
  <si>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</si>
  <si>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</si>
  <si>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</si>
  <si>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</si>
  <si>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</si>
  <si>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</si>
  <si>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</si>
  <si>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</si>
  <si>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</si>
  <si>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</si>
  <si>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</si>
  <si>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</si>
  <si>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</si>
  <si>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</si>
  <si>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</si>
  <si>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</si>
  <si>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</si>
  <si>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</si>
  <si>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</si>
  <si>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</si>
  <si>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</si>
  <si>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</si>
  <si>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</si>
  <si>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</si>
  <si>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</si>
  <si>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</si>
  <si>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</si>
  <si>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</si>
  <si>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</si>
  <si>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</si>
  <si>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</si>
  <si>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</si>
  <si>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</si>
  <si>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</si>
  <si>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</si>
  <si>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</si>
  <si>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</si>
  <si>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</si>
  <si>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</si>
  <si>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</si>
  <si>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</si>
  <si>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</si>
  <si>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</si>
  <si>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</si>
  <si>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</si>
  <si>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</si>
  <si>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</si>
  <si>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</si>
  <si>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</si>
  <si>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</si>
  <si>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</si>
  <si>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</si>
  <si>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</si>
  <si>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</si>
  <si>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</si>
  <si>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</si>
  <si>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</si>
  <si>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</si>
  <si>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</si>
  <si>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</si>
  <si>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</si>
  <si>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</si>
  <si>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</si>
  <si>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</si>
  <si>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</si>
  <si>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</si>
  <si>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</si>
  <si>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</si>
  <si>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</si>
  <si>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</si>
  <si>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</si>
  <si>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</si>
  <si>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</si>
  <si>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</si>
  <si>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</si>
  <si>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</si>
  <si>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</si>
  <si>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</si>
  <si>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</si>
  <si>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</si>
  <si>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</si>
  <si>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</si>
  <si>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</si>
  <si>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</si>
  <si>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</si>
  <si>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</si>
  <si>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</si>
  <si>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</si>
  <si>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</si>
  <si>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</si>
  <si>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</si>
  <si>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</si>
  <si>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</si>
  <si>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</si>
  <si>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</si>
  <si>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</si>
  <si>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</si>
  <si>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</si>
  <si>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</si>
  <si>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</si>
  <si>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</si>
  <si>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</si>
  <si>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</si>
  <si>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</si>
  <si>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</si>
  <si>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</si>
  <si>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</si>
  <si>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</si>
  <si>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</si>
  <si>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</si>
  <si>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</si>
  <si>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</si>
  <si>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</si>
  <si>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</si>
  <si>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</si>
  <si>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</si>
  <si>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</si>
  <si>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</si>
  <si>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</si>
  <si>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</si>
  <si>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</si>
  <si>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</si>
  <si>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</si>
  <si>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</si>
  <si>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</si>
  <si>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</si>
  <si>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</si>
  <si>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</si>
  <si>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</si>
  <si>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</si>
  <si>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</si>
  <si>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</si>
  <si>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</si>
  <si>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</si>
  <si>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</si>
  <si>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</si>
  <si>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</si>
  <si>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</si>
  <si>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</si>
  <si>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</si>
  <si>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</si>
  <si>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</si>
  <si>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</si>
  <si>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</si>
  <si>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</si>
  <si>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</si>
  <si>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</si>
  <si>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</si>
  <si>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</si>
  <si>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</si>
  <si>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</si>
  <si>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</si>
  <si>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</si>
  <si>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</si>
  <si>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</si>
  <si>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</si>
  <si>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</si>
  <si>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</si>
  <si>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</si>
  <si>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</si>
  <si>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</si>
  <si>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</si>
  <si>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</si>
  <si>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</si>
  <si>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</si>
  <si>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</si>
  <si>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</si>
  <si>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Klimatilpasningsprojekter i Greve</t>
  </si>
  <si>
    <t>Udvidelser</t>
  </si>
  <si>
    <t>Resultat af kontrol med overholdelse af den økonomiske ramme for 2021</t>
  </si>
  <si>
    <t>Ingen anlægsprojekter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</si>
  <si>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</si>
  <si>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</si>
  <si>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</si>
  <si>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</si>
  <si>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</si>
  <si>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</si>
  <si>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</si>
  <si>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</si>
  <si>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</si>
  <si>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</si>
  <si>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</si>
  <si>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</si>
  <si>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 xml:space="preserve">Ingen engangstillæg </t>
  </si>
  <si>
    <t>Ingen tilknyttet virksomhed under hovedvirksomheden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</si>
</sst>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49" fontId="8" fillId="8" borderId="2" xfId="0" applyNumberFormat="1" applyFont="1" applyFill="1" applyBorder="1" applyAlignment="1" applyProtection="1">
      <alignment horizontal="lef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1"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10" t="s">
        <v>227</v>
      </c>
      <c r="E8" s="110"/>
      <c r="F8" s="110"/>
      <c r="G8" s="11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9" t="s">
        <v>5</v>
      </c>
      <c r="E11" s="109"/>
      <c r="F11" s="109"/>
      <c r="G11" s="109"/>
      <c r="H11" s="5"/>
      <c r="I11" s="1"/>
    </row>
    <row r="12" spans="1:9" x14ac:dyDescent="0.25">
      <c r="A12" s="1"/>
      <c r="B12" s="1"/>
      <c r="C12" s="1"/>
      <c r="D12" s="1"/>
      <c r="E12" s="1"/>
      <c r="F12" s="1"/>
      <c r="G12" s="1"/>
      <c r="H12" s="5"/>
      <c r="I12" s="1"/>
    </row>
    <row r="13" spans="1:9" x14ac:dyDescent="0.25">
      <c r="A13" s="1"/>
      <c r="B13" s="1"/>
      <c r="C13" s="6" t="s">
        <v>6</v>
      </c>
      <c r="D13" s="114" t="s">
        <v>169</v>
      </c>
      <c r="E13" s="115"/>
      <c r="F13" s="115"/>
      <c r="G13" s="116"/>
      <c r="H13" s="5"/>
      <c r="I13" s="1"/>
    </row>
    <row r="14" spans="1:9" x14ac:dyDescent="0.25">
      <c r="A14" s="1"/>
      <c r="B14" s="1"/>
      <c r="C14" s="6" t="s">
        <v>16</v>
      </c>
      <c r="D14" s="99" t="s">
        <v>237</v>
      </c>
      <c r="E14" s="100"/>
      <c r="F14" s="100"/>
      <c r="G14" s="101"/>
      <c r="H14" s="5"/>
      <c r="I14" s="1"/>
    </row>
    <row r="15" spans="1:9" x14ac:dyDescent="0.25">
      <c r="A15" s="1"/>
      <c r="B15" s="1"/>
      <c r="C15" s="6" t="s">
        <v>34</v>
      </c>
      <c r="D15" s="99" t="s">
        <v>170</v>
      </c>
      <c r="E15" s="100"/>
      <c r="F15" s="100"/>
      <c r="G15" s="101"/>
      <c r="H15" s="5"/>
      <c r="I15" s="1"/>
    </row>
    <row r="16" spans="1:9" x14ac:dyDescent="0.25">
      <c r="A16" s="1"/>
      <c r="B16" s="1"/>
      <c r="C16" s="6" t="s">
        <v>35</v>
      </c>
      <c r="D16" s="99" t="s">
        <v>183</v>
      </c>
      <c r="E16" s="100"/>
      <c r="F16" s="100"/>
      <c r="G16" s="101"/>
      <c r="H16" s="5"/>
      <c r="I16" s="1"/>
    </row>
    <row r="17" spans="1:9" x14ac:dyDescent="0.25">
      <c r="A17" s="1"/>
      <c r="B17" s="1"/>
      <c r="C17" s="6" t="s">
        <v>119</v>
      </c>
      <c r="D17" s="99" t="s">
        <v>184</v>
      </c>
      <c r="E17" s="100"/>
      <c r="F17" s="100"/>
      <c r="G17" s="101"/>
      <c r="H17" s="5"/>
      <c r="I17" s="1"/>
    </row>
    <row r="18" spans="1:9" x14ac:dyDescent="0.25">
      <c r="A18" s="1"/>
      <c r="B18" s="1"/>
      <c r="C18" s="6" t="s">
        <v>106</v>
      </c>
      <c r="D18" s="111" t="s">
        <v>95</v>
      </c>
      <c r="E18" s="112"/>
      <c r="F18" s="112"/>
      <c r="G18" s="113"/>
      <c r="H18" s="5"/>
      <c r="I18" s="1"/>
    </row>
    <row r="19" spans="1:9" x14ac:dyDescent="0.25">
      <c r="A19" s="1"/>
      <c r="B19" s="1"/>
      <c r="C19" s="6" t="s">
        <v>107</v>
      </c>
      <c r="D19" s="111" t="s">
        <v>96</v>
      </c>
      <c r="E19" s="112"/>
      <c r="F19" s="112"/>
      <c r="G19" s="113"/>
      <c r="H19" s="5"/>
      <c r="I19" s="1"/>
    </row>
    <row r="20" spans="1:9" x14ac:dyDescent="0.25">
      <c r="A20" s="1"/>
      <c r="B20" s="1"/>
      <c r="C20" s="6" t="s">
        <v>7</v>
      </c>
      <c r="D20" s="111" t="s">
        <v>10</v>
      </c>
      <c r="E20" s="112"/>
      <c r="F20" s="112"/>
      <c r="G20" s="113"/>
      <c r="H20" s="5"/>
      <c r="I20" s="1"/>
    </row>
    <row r="21" spans="1:9" x14ac:dyDescent="0.25">
      <c r="A21" s="1"/>
      <c r="B21" s="1"/>
      <c r="C21" s="6" t="s">
        <v>108</v>
      </c>
      <c r="D21" s="103" t="s">
        <v>12</v>
      </c>
      <c r="E21" s="104"/>
      <c r="F21" s="104"/>
      <c r="G21" s="105"/>
      <c r="H21" s="5"/>
      <c r="I21" s="1"/>
    </row>
    <row r="22" spans="1:9" x14ac:dyDescent="0.25">
      <c r="A22" s="1"/>
      <c r="B22" s="1"/>
      <c r="C22" s="6" t="s">
        <v>83</v>
      </c>
      <c r="D22" s="106" t="s">
        <v>185</v>
      </c>
      <c r="E22" s="107"/>
      <c r="F22" s="107"/>
      <c r="G22" s="108"/>
      <c r="H22" s="5"/>
      <c r="I22" s="1"/>
    </row>
    <row r="23" spans="1:9" x14ac:dyDescent="0.25">
      <c r="A23" s="1"/>
      <c r="B23" s="1"/>
      <c r="C23" s="6" t="s">
        <v>8</v>
      </c>
      <c r="D23" s="106" t="s">
        <v>255</v>
      </c>
      <c r="E23" s="107"/>
      <c r="F23" s="107"/>
      <c r="G23" s="108"/>
      <c r="H23" s="5"/>
      <c r="I23" s="1"/>
    </row>
    <row r="24" spans="1:9" x14ac:dyDescent="0.25">
      <c r="A24" s="1"/>
      <c r="B24" s="1"/>
      <c r="C24" s="6" t="s">
        <v>9</v>
      </c>
      <c r="D24" s="106" t="s">
        <v>186</v>
      </c>
      <c r="E24" s="107"/>
      <c r="F24" s="107"/>
      <c r="G24" s="108"/>
      <c r="H24" s="5"/>
      <c r="I24" s="1"/>
    </row>
    <row r="25" spans="1:9" x14ac:dyDescent="0.25">
      <c r="A25" s="1"/>
      <c r="B25" s="1"/>
      <c r="C25" s="6" t="s">
        <v>248</v>
      </c>
      <c r="D25" s="106" t="s">
        <v>239</v>
      </c>
      <c r="E25" s="107"/>
      <c r="F25" s="107"/>
      <c r="G25" s="108"/>
      <c r="H25" s="1"/>
      <c r="I25" s="1"/>
    </row>
    <row r="26" spans="1:9" x14ac:dyDescent="0.25">
      <c r="A26" s="1"/>
      <c r="B26" s="1"/>
      <c r="C26" s="6" t="s">
        <v>249</v>
      </c>
      <c r="D26" s="106" t="s">
        <v>84</v>
      </c>
      <c r="E26" s="107"/>
      <c r="F26" s="107"/>
      <c r="G26" s="108"/>
      <c r="H26" s="1"/>
      <c r="I26" s="1"/>
    </row>
    <row r="27" spans="1:9" x14ac:dyDescent="0.25">
      <c r="A27" s="1"/>
      <c r="B27" s="1"/>
      <c r="C27" s="6" t="s">
        <v>250</v>
      </c>
      <c r="D27" s="106" t="s">
        <v>85</v>
      </c>
      <c r="E27" s="107"/>
      <c r="F27" s="107"/>
      <c r="G27" s="108"/>
      <c r="H27" s="1"/>
      <c r="I27" s="1"/>
    </row>
    <row r="28" spans="1:9" x14ac:dyDescent="0.25">
      <c r="A28" s="1"/>
      <c r="B28" s="1"/>
      <c r="C28" s="6" t="s">
        <v>15</v>
      </c>
      <c r="D28" s="106" t="s">
        <v>86</v>
      </c>
      <c r="E28" s="107"/>
      <c r="F28" s="107"/>
      <c r="G28" s="108"/>
      <c r="H28" s="1"/>
      <c r="I28" s="1"/>
    </row>
    <row r="29" spans="1:9" x14ac:dyDescent="0.25">
      <c r="A29" s="1"/>
      <c r="B29" s="1"/>
      <c r="C29" s="6" t="s">
        <v>37</v>
      </c>
      <c r="D29" s="106" t="s">
        <v>134</v>
      </c>
      <c r="E29" s="107"/>
      <c r="F29" s="107"/>
      <c r="G29" s="108"/>
      <c r="H29" s="1"/>
      <c r="I29" s="1"/>
    </row>
    <row r="30" spans="1:9" x14ac:dyDescent="0.25">
      <c r="A30" s="1"/>
      <c r="B30" s="1"/>
      <c r="C30" s="6" t="s">
        <v>38</v>
      </c>
      <c r="D30" s="106" t="s">
        <v>36</v>
      </c>
      <c r="E30" s="107"/>
      <c r="F30" s="107"/>
      <c r="G30" s="108"/>
      <c r="H30" s="1"/>
      <c r="I30" s="1"/>
    </row>
    <row r="31" spans="1:9" x14ac:dyDescent="0.25">
      <c r="A31" s="1"/>
      <c r="B31" s="1"/>
      <c r="C31" s="6" t="s">
        <v>251</v>
      </c>
      <c r="D31" s="117" t="s">
        <v>105</v>
      </c>
      <c r="E31" s="118"/>
      <c r="F31" s="118"/>
      <c r="G31" s="11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BKXkFhR7LdVBi6jTvWvkv3pus7aFhBRCnMoEGfVNyfSAC4rjsHmjh+s3BUc/bmIbqxsl01u98IHJw9VUFvbwxw==" saltValue="7XFtLhzUUxHP3jIsjLKSy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0" t="s">
        <v>111</v>
      </c>
      <c r="C3" s="120"/>
      <c r="D3" s="120"/>
      <c r="E3" s="1"/>
      <c r="F3" s="1"/>
    </row>
    <row r="4" spans="1:6" ht="15" customHeight="1" x14ac:dyDescent="0.25">
      <c r="A4" s="1"/>
      <c r="B4" s="120"/>
      <c r="C4" s="120"/>
      <c r="D4" s="12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8" t="s">
        <v>200</v>
      </c>
      <c r="C8" s="129"/>
      <c r="D8" s="130"/>
      <c r="E8" s="1"/>
      <c r="F8" s="1"/>
    </row>
    <row r="9" spans="1:6" ht="15" customHeight="1" x14ac:dyDescent="0.25">
      <c r="A9" s="1"/>
      <c r="B9" s="26" t="s">
        <v>32</v>
      </c>
      <c r="C9" s="57" t="s">
        <v>242</v>
      </c>
      <c r="D9" s="11"/>
      <c r="E9" s="1"/>
      <c r="F9" s="1"/>
    </row>
    <row r="10" spans="1:6" x14ac:dyDescent="0.25">
      <c r="A10" s="1"/>
      <c r="B10" s="94" t="s">
        <v>268</v>
      </c>
      <c r="C10" s="9">
        <v>1496187</v>
      </c>
      <c r="D10" s="14" t="s">
        <v>3</v>
      </c>
      <c r="E10" s="1"/>
      <c r="F10" s="1"/>
    </row>
    <row r="11" spans="1:6" x14ac:dyDescent="0.25">
      <c r="A11" s="1"/>
      <c r="B11" s="94" t="s">
        <v>269</v>
      </c>
      <c r="C11" s="9">
        <v>112601</v>
      </c>
      <c r="D11" s="14" t="s">
        <v>3</v>
      </c>
      <c r="E11" s="1"/>
      <c r="F11" s="1"/>
    </row>
    <row r="12" spans="1:6" x14ac:dyDescent="0.25">
      <c r="A12" s="1"/>
      <c r="B12" s="94" t="s">
        <v>270</v>
      </c>
      <c r="C12" s="9">
        <v>134000</v>
      </c>
      <c r="D12" s="14" t="s">
        <v>3</v>
      </c>
      <c r="E12" s="1"/>
      <c r="F12" s="1"/>
    </row>
    <row r="13" spans="1:6" x14ac:dyDescent="0.25">
      <c r="A13" s="1"/>
      <c r="B13" s="94" t="s">
        <v>271</v>
      </c>
      <c r="C13" s="9">
        <v>291114</v>
      </c>
      <c r="D13" s="14" t="s">
        <v>3</v>
      </c>
      <c r="E13" s="1"/>
      <c r="F13" s="1"/>
    </row>
    <row r="14" spans="1:6" x14ac:dyDescent="0.25">
      <c r="A14" s="1"/>
      <c r="B14" s="32" t="s">
        <v>201</v>
      </c>
      <c r="C14" s="12">
        <f>SUM(C10:C13)</f>
        <v>2033902</v>
      </c>
      <c r="D14" s="13" t="s">
        <v>3</v>
      </c>
      <c r="E14" s="1"/>
      <c r="F14" s="1"/>
    </row>
    <row r="15" spans="1:6" x14ac:dyDescent="0.25">
      <c r="A15" s="1"/>
      <c r="B15" s="32" t="s">
        <v>202</v>
      </c>
      <c r="C15" s="12">
        <f>C14*(1+'Fane 15. Nøgletal'!C15)^2</f>
        <v>2181293.5084387204</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8" t="s">
        <v>117</v>
      </c>
      <c r="C18" s="129"/>
      <c r="D18" s="130"/>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203</v>
      </c>
      <c r="C22" s="9">
        <v>0</v>
      </c>
      <c r="D22" s="40" t="s">
        <v>3</v>
      </c>
      <c r="E22" s="1"/>
      <c r="F22" s="1"/>
    </row>
    <row r="23" spans="1:6" x14ac:dyDescent="0.25">
      <c r="A23" s="1"/>
      <c r="B23" s="128"/>
      <c r="C23" s="129"/>
      <c r="D23" s="130"/>
      <c r="E23" s="1"/>
      <c r="F23" s="1"/>
    </row>
    <row r="24" spans="1:6" x14ac:dyDescent="0.25">
      <c r="A24" s="1"/>
      <c r="B24" s="1"/>
      <c r="C24" s="1"/>
      <c r="D24" s="1"/>
      <c r="E24" s="1"/>
      <c r="F24" s="1"/>
    </row>
    <row r="25" spans="1:6" x14ac:dyDescent="0.25">
      <c r="A25" s="1"/>
      <c r="B25" s="1"/>
      <c r="C25" s="1"/>
      <c r="D25" s="1"/>
      <c r="E25" s="1"/>
      <c r="F25" s="1"/>
    </row>
    <row r="26" spans="1:6" x14ac:dyDescent="0.25">
      <c r="A26" s="1"/>
      <c r="B26" s="128" t="s">
        <v>98</v>
      </c>
      <c r="C26" s="129"/>
      <c r="D26" s="130"/>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203</v>
      </c>
      <c r="C30" s="9">
        <v>0</v>
      </c>
      <c r="D30" s="40" t="s">
        <v>3</v>
      </c>
      <c r="E30" s="1"/>
      <c r="F30" s="1"/>
    </row>
    <row r="31" spans="1:6" x14ac:dyDescent="0.25">
      <c r="A31" s="1"/>
      <c r="B31" s="128"/>
      <c r="C31" s="129"/>
      <c r="D31" s="130"/>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8"/>
      <c r="B48" s="48"/>
      <c r="C48" s="48"/>
      <c r="D48" s="48"/>
      <c r="E48" s="48"/>
      <c r="F48" s="48"/>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sheetData>
  <sheetProtection algorithmName="SHA-512" hashValue="vpg3G1bnEKHlJ3KOkhNu2fKfyjwyl/EF9FsfcOFQe305UzedTo0Uxi8QsHXYHIHQDvGaistLEG/XOCVV/m8dyQ==" saltValue="k7B7C8IqW/mpntiXpaPfc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6" t="s">
        <v>204</v>
      </c>
      <c r="C3" s="136"/>
      <c r="D3" s="136"/>
      <c r="E3" s="136"/>
      <c r="F3" s="136"/>
      <c r="G3" s="1"/>
    </row>
    <row r="4" spans="1:7" ht="15" customHeight="1" x14ac:dyDescent="0.25">
      <c r="A4" s="1"/>
      <c r="B4" s="136"/>
      <c r="C4" s="136"/>
      <c r="D4" s="136"/>
      <c r="E4" s="136"/>
      <c r="F4" s="136"/>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8" t="s">
        <v>178</v>
      </c>
      <c r="C8" s="129"/>
      <c r="D8" s="129"/>
      <c r="E8" s="129"/>
      <c r="F8" s="130"/>
      <c r="G8" s="1"/>
    </row>
    <row r="9" spans="1:7" x14ac:dyDescent="0.25">
      <c r="A9" s="1"/>
      <c r="B9" s="138" t="s">
        <v>205</v>
      </c>
      <c r="C9" s="139"/>
      <c r="D9" s="140"/>
      <c r="E9" s="9">
        <v>14171882.445315406</v>
      </c>
      <c r="F9" s="14" t="s">
        <v>3</v>
      </c>
      <c r="G9" s="1"/>
    </row>
    <row r="10" spans="1:7" x14ac:dyDescent="0.25">
      <c r="A10" s="1"/>
      <c r="B10" s="138" t="s">
        <v>265</v>
      </c>
      <c r="C10" s="139"/>
      <c r="D10" s="140"/>
      <c r="E10" s="9">
        <v>14171882.445315406</v>
      </c>
      <c r="F10" s="14" t="s">
        <v>3</v>
      </c>
      <c r="G10" s="1"/>
    </row>
    <row r="11" spans="1:7" x14ac:dyDescent="0.25">
      <c r="A11" s="1"/>
      <c r="B11" s="32"/>
      <c r="C11" s="27"/>
      <c r="D11" s="27"/>
      <c r="E11" s="27"/>
      <c r="F11" s="19"/>
      <c r="G11" s="1"/>
    </row>
    <row r="12" spans="1:7" ht="67.5" customHeight="1" x14ac:dyDescent="0.25">
      <c r="A12" s="1"/>
      <c r="B12" s="131" t="s">
        <v>266</v>
      </c>
      <c r="C12" s="132"/>
      <c r="D12" s="132"/>
      <c r="E12" s="132"/>
      <c r="F12" s="133"/>
      <c r="G12" s="1"/>
    </row>
    <row r="13" spans="1:7" ht="27" customHeight="1" x14ac:dyDescent="0.25">
      <c r="A13" s="1"/>
      <c r="B13" s="1"/>
      <c r="C13" s="1"/>
      <c r="D13" s="1"/>
      <c r="E13" s="1"/>
      <c r="F13" s="1"/>
      <c r="G13" s="1"/>
    </row>
    <row r="14" spans="1:7" ht="28.5" customHeight="1" x14ac:dyDescent="0.25">
      <c r="A14" s="1"/>
      <c r="B14" s="128" t="s">
        <v>179</v>
      </c>
      <c r="C14" s="129"/>
      <c r="D14" s="129"/>
      <c r="E14" s="129"/>
      <c r="F14" s="130"/>
      <c r="G14" s="1"/>
    </row>
    <row r="15" spans="1:7" x14ac:dyDescent="0.25">
      <c r="A15" s="1"/>
      <c r="B15" s="138" t="s">
        <v>284</v>
      </c>
      <c r="C15" s="139"/>
      <c r="D15" s="140"/>
      <c r="E15" s="9">
        <v>0</v>
      </c>
      <c r="F15" s="14" t="s">
        <v>3</v>
      </c>
      <c r="G15" s="1"/>
    </row>
    <row r="16" spans="1:7" x14ac:dyDescent="0.25">
      <c r="A16" s="1"/>
      <c r="B16" s="138" t="s">
        <v>285</v>
      </c>
      <c r="C16" s="139"/>
      <c r="D16" s="140"/>
      <c r="E16" s="9">
        <v>0</v>
      </c>
      <c r="F16" s="14" t="s">
        <v>3</v>
      </c>
      <c r="G16" s="1"/>
    </row>
    <row r="17" spans="1:7" x14ac:dyDescent="0.25">
      <c r="A17" s="1"/>
      <c r="B17" s="32"/>
      <c r="C17" s="27"/>
      <c r="D17" s="27"/>
      <c r="E17" s="27"/>
      <c r="F17" s="19"/>
      <c r="G17" s="1"/>
    </row>
    <row r="18" spans="1:7" ht="31.5" customHeight="1" x14ac:dyDescent="0.25">
      <c r="A18" s="1"/>
      <c r="B18" s="131" t="s">
        <v>180</v>
      </c>
      <c r="C18" s="132"/>
      <c r="D18" s="132"/>
      <c r="E18" s="132"/>
      <c r="F18" s="133"/>
      <c r="G18" s="1"/>
    </row>
    <row r="19" spans="1:7" ht="28.5" customHeight="1" x14ac:dyDescent="0.25">
      <c r="A19" s="1"/>
      <c r="B19" s="1"/>
      <c r="C19" s="1"/>
      <c r="D19" s="1"/>
      <c r="E19" s="1"/>
      <c r="F19" s="1"/>
      <c r="G19" s="1"/>
    </row>
    <row r="20" spans="1:7" ht="28.5" customHeight="1" x14ac:dyDescent="0.25">
      <c r="A20" s="1"/>
      <c r="B20" s="86" t="s">
        <v>206</v>
      </c>
      <c r="C20" s="87"/>
      <c r="D20" s="87"/>
      <c r="E20" s="87"/>
      <c r="F20" s="88"/>
      <c r="G20" s="1"/>
    </row>
    <row r="21" spans="1:7" x14ac:dyDescent="0.25">
      <c r="A21" s="1"/>
      <c r="B21" s="91" t="s">
        <v>207</v>
      </c>
      <c r="C21" s="92"/>
      <c r="D21" s="93"/>
      <c r="E21" s="9">
        <v>71968495.134227753</v>
      </c>
      <c r="F21" s="14" t="s">
        <v>3</v>
      </c>
      <c r="G21" s="1"/>
    </row>
    <row r="22" spans="1:7" x14ac:dyDescent="0.25">
      <c r="A22" s="1"/>
      <c r="B22" s="91" t="s">
        <v>208</v>
      </c>
      <c r="C22" s="92"/>
      <c r="D22" s="93"/>
      <c r="E22" s="9">
        <v>84030105</v>
      </c>
      <c r="F22" s="14" t="s">
        <v>3</v>
      </c>
      <c r="G22" s="1"/>
    </row>
    <row r="23" spans="1:7" x14ac:dyDescent="0.25">
      <c r="A23" s="1"/>
      <c r="B23" s="91" t="s">
        <v>33</v>
      </c>
      <c r="C23" s="92"/>
      <c r="D23" s="93"/>
      <c r="E23" s="9">
        <v>0</v>
      </c>
      <c r="F23" s="14" t="s">
        <v>3</v>
      </c>
      <c r="G23" s="1"/>
    </row>
    <row r="24" spans="1:7" x14ac:dyDescent="0.25">
      <c r="A24" s="1"/>
      <c r="B24" s="89" t="s">
        <v>274</v>
      </c>
      <c r="C24" s="90"/>
      <c r="D24" s="97"/>
      <c r="E24" s="71">
        <f>E21-(E22-E23)</f>
        <v>-12061609.865772247</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8" t="s">
        <v>286</v>
      </c>
      <c r="C27" s="129"/>
      <c r="D27" s="129"/>
      <c r="E27" s="129"/>
      <c r="F27" s="130"/>
      <c r="G27" s="1"/>
    </row>
    <row r="28" spans="1:7" x14ac:dyDescent="0.25">
      <c r="A28" s="1"/>
      <c r="B28" s="134" t="s">
        <v>287</v>
      </c>
      <c r="C28" s="135"/>
      <c r="D28" s="155"/>
      <c r="E28" s="72">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8"/>
      <c r="C29" s="129"/>
      <c r="D29" s="129"/>
      <c r="E29" s="129"/>
      <c r="F29" s="130"/>
      <c r="G29" s="1"/>
    </row>
    <row r="30" spans="1:7" x14ac:dyDescent="0.25">
      <c r="A30" s="1"/>
      <c r="B30" s="1"/>
      <c r="C30" s="1"/>
      <c r="D30" s="1"/>
      <c r="E30" s="1"/>
      <c r="F30" s="1"/>
      <c r="G30" s="1"/>
    </row>
    <row r="31" spans="1:7" ht="28.5" customHeight="1" x14ac:dyDescent="0.25">
      <c r="A31" s="1"/>
      <c r="B31" s="128" t="s">
        <v>267</v>
      </c>
      <c r="C31" s="129"/>
      <c r="D31" s="129"/>
      <c r="E31" s="129"/>
      <c r="F31" s="130"/>
      <c r="G31" s="1"/>
    </row>
    <row r="32" spans="1:7" x14ac:dyDescent="0.25">
      <c r="A32" s="1"/>
      <c r="B32" s="152" t="s">
        <v>143</v>
      </c>
      <c r="C32" s="153"/>
      <c r="D32" s="154"/>
      <c r="E32" s="73">
        <f>IF(AND(E9&gt;0,(E9+E24)&gt;0),0,IF(AND(E9&gt;0,(E9+E24)&lt;0),(E9+E24),IF(AND(E9&lt;0,E24&lt;0),E24,0)))</f>
        <v>0</v>
      </c>
      <c r="F32" s="14" t="s">
        <v>3</v>
      </c>
      <c r="G32" s="1"/>
    </row>
    <row r="33" spans="1:7" x14ac:dyDescent="0.25">
      <c r="A33" s="1"/>
      <c r="B33" s="152" t="s">
        <v>102</v>
      </c>
      <c r="C33" s="153"/>
      <c r="D33" s="154"/>
      <c r="E33" s="9">
        <v>4</v>
      </c>
      <c r="F33" s="14" t="s">
        <v>20</v>
      </c>
      <c r="G33" s="1"/>
    </row>
    <row r="34" spans="1:7" x14ac:dyDescent="0.25">
      <c r="A34" s="1"/>
      <c r="B34" s="156" t="s">
        <v>144</v>
      </c>
      <c r="C34" s="156"/>
      <c r="D34" s="156"/>
      <c r="E34" s="72">
        <f>E32/E33</f>
        <v>0</v>
      </c>
      <c r="F34" s="17" t="s">
        <v>3</v>
      </c>
      <c r="G34" s="1"/>
    </row>
    <row r="35" spans="1:7" x14ac:dyDescent="0.25">
      <c r="A35" s="1"/>
      <c r="B35" s="157"/>
      <c r="C35" s="158"/>
      <c r="D35" s="158"/>
      <c r="E35" s="158"/>
      <c r="F35" s="159"/>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WVQuSamZMAFrQgdQ3Yssu6gwoPeRG6vo/tBSrTxBn8i6GPWhG9ZBu76aIRYkSepOYT3PkUOr+J+D+QDZ8ZQrjA==" saltValue="WmiCjPBwuZwE4CW8Q81KSQ==" spinCount="100000" sheet="1" objects="1" scenarios="1"/>
  <mergeCells count="17">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 ref="B28:D28"/>
    <mergeCell ref="B31:F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8" customWidth="1"/>
    <col min="2" max="2" width="22.5703125" style="68" customWidth="1"/>
    <col min="3" max="3" width="8.28515625" style="68" customWidth="1"/>
    <col min="4" max="6" width="10.7109375" style="68" customWidth="1"/>
    <col min="7" max="7" width="11.140625" style="68" customWidth="1"/>
    <col min="8" max="8" width="3.28515625" style="68" customWidth="1"/>
    <col min="9" max="9" width="4.85546875" style="68" customWidth="1"/>
    <col min="10" max="16384" width="9.140625" style="6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0" t="s">
        <v>252</v>
      </c>
      <c r="C3" s="120"/>
      <c r="D3" s="120"/>
      <c r="E3" s="120"/>
      <c r="F3" s="120"/>
      <c r="G3" s="120"/>
      <c r="H3" s="120"/>
      <c r="I3" s="1"/>
    </row>
    <row r="4" spans="1:9" ht="15" customHeight="1" x14ac:dyDescent="0.25">
      <c r="A4" s="1"/>
      <c r="B4" s="120"/>
      <c r="C4" s="120"/>
      <c r="D4" s="120"/>
      <c r="E4" s="120"/>
      <c r="F4" s="120"/>
      <c r="G4" s="120"/>
      <c r="H4" s="12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8" t="s">
        <v>264</v>
      </c>
      <c r="C8" s="129"/>
      <c r="D8" s="129"/>
      <c r="E8" s="129"/>
      <c r="F8" s="129"/>
      <c r="G8" s="129"/>
      <c r="H8" s="130"/>
      <c r="I8" s="1"/>
    </row>
    <row r="9" spans="1:9" ht="15" customHeight="1" x14ac:dyDescent="0.25">
      <c r="A9" s="1"/>
      <c r="B9" s="125" t="s">
        <v>253</v>
      </c>
      <c r="C9" s="126"/>
      <c r="D9" s="126"/>
      <c r="E9" s="126"/>
      <c r="F9" s="126"/>
      <c r="G9" s="126"/>
      <c r="H9" s="127"/>
      <c r="I9" s="1"/>
    </row>
    <row r="10" spans="1:9" x14ac:dyDescent="0.25">
      <c r="A10" s="1"/>
      <c r="B10" s="160" t="s">
        <v>276</v>
      </c>
      <c r="C10" s="161"/>
      <c r="D10" s="161"/>
      <c r="E10" s="161"/>
      <c r="F10" s="162"/>
      <c r="G10" s="9">
        <v>0</v>
      </c>
      <c r="H10" s="9" t="s">
        <v>3</v>
      </c>
      <c r="I10" s="1"/>
    </row>
    <row r="11" spans="1:9" x14ac:dyDescent="0.25">
      <c r="A11" s="1"/>
      <c r="B11" s="160" t="s">
        <v>277</v>
      </c>
      <c r="C11" s="161"/>
      <c r="D11" s="161"/>
      <c r="E11" s="161"/>
      <c r="F11" s="162"/>
      <c r="G11" s="9">
        <v>0</v>
      </c>
      <c r="H11" s="9" t="s">
        <v>3</v>
      </c>
      <c r="I11" s="1"/>
    </row>
    <row r="12" spans="1:9" x14ac:dyDescent="0.25">
      <c r="A12" s="1"/>
      <c r="B12" s="160" t="s">
        <v>278</v>
      </c>
      <c r="C12" s="161"/>
      <c r="D12" s="161"/>
      <c r="E12" s="161"/>
      <c r="F12" s="162"/>
      <c r="G12" s="9">
        <v>0</v>
      </c>
      <c r="H12" s="9" t="s">
        <v>3</v>
      </c>
      <c r="I12" s="1"/>
    </row>
    <row r="13" spans="1:9" x14ac:dyDescent="0.25">
      <c r="A13" s="1"/>
      <c r="B13" s="160" t="s">
        <v>279</v>
      </c>
      <c r="C13" s="161"/>
      <c r="D13" s="161"/>
      <c r="E13" s="161"/>
      <c r="F13" s="162"/>
      <c r="G13" s="9">
        <v>0</v>
      </c>
      <c r="H13" s="9" t="s">
        <v>3</v>
      </c>
      <c r="I13" s="1"/>
    </row>
    <row r="14" spans="1:9" x14ac:dyDescent="0.25">
      <c r="A14" s="1"/>
      <c r="B14" s="160" t="s">
        <v>280</v>
      </c>
      <c r="C14" s="161"/>
      <c r="D14" s="161"/>
      <c r="E14" s="161"/>
      <c r="F14" s="162"/>
      <c r="G14" s="9">
        <v>0</v>
      </c>
      <c r="H14" s="9" t="s">
        <v>3</v>
      </c>
      <c r="I14" s="1"/>
    </row>
    <row r="15" spans="1:9" x14ac:dyDescent="0.25">
      <c r="A15" s="1"/>
      <c r="B15" s="160" t="s">
        <v>281</v>
      </c>
      <c r="C15" s="161"/>
      <c r="D15" s="161"/>
      <c r="E15" s="161"/>
      <c r="F15" s="162"/>
      <c r="G15" s="9">
        <v>0</v>
      </c>
      <c r="H15" s="9" t="s">
        <v>3</v>
      </c>
      <c r="I15" s="1"/>
    </row>
    <row r="16" spans="1:9" x14ac:dyDescent="0.25">
      <c r="A16" s="1"/>
      <c r="B16" s="160" t="s">
        <v>282</v>
      </c>
      <c r="C16" s="161"/>
      <c r="D16" s="161"/>
      <c r="E16" s="161"/>
      <c r="F16" s="162"/>
      <c r="G16" s="9">
        <v>0</v>
      </c>
      <c r="H16" s="9" t="s">
        <v>3</v>
      </c>
      <c r="I16" s="1"/>
    </row>
    <row r="17" spans="1:9" x14ac:dyDescent="0.25">
      <c r="A17" s="1"/>
      <c r="B17" s="160" t="s">
        <v>283</v>
      </c>
      <c r="C17" s="161"/>
      <c r="D17" s="161"/>
      <c r="E17" s="161"/>
      <c r="F17" s="162"/>
      <c r="G17" s="9">
        <v>0</v>
      </c>
      <c r="H17" s="9" t="s">
        <v>3</v>
      </c>
      <c r="I17" s="1"/>
    </row>
    <row r="18" spans="1:9" x14ac:dyDescent="0.25">
      <c r="A18" s="1"/>
      <c r="B18" s="128" t="s">
        <v>254</v>
      </c>
      <c r="C18" s="129"/>
      <c r="D18" s="129"/>
      <c r="E18" s="129"/>
      <c r="F18" s="13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oYUsN2McEt1Ns/6oEbpm6tljBjwwYPjEO5rxjnL0hJ3daMxsiVVU1MV34eZ9xSKBuuVdvE7V/ivDLmqJSOzpag==" saltValue="ZPV0SFTODlrI1u/L8T8dYw==" spinCount="100000" sheet="1" objects="1" scenarios="1"/>
  <mergeCells count="12">
    <mergeCell ref="B11:F11"/>
    <mergeCell ref="B10:F10"/>
    <mergeCell ref="B9:H9"/>
    <mergeCell ref="B3:H4"/>
    <mergeCell ref="B8:H8"/>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6" t="s">
        <v>256</v>
      </c>
      <c r="C3" s="136"/>
      <c r="D3" s="136"/>
      <c r="E3" s="136"/>
      <c r="F3" s="136"/>
      <c r="G3" s="1"/>
    </row>
    <row r="4" spans="1:7" ht="1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209</v>
      </c>
      <c r="C9" s="129"/>
      <c r="D9" s="129"/>
      <c r="E9" s="129"/>
      <c r="F9" s="130"/>
      <c r="G9" s="1"/>
    </row>
    <row r="10" spans="1:7" x14ac:dyDescent="0.25">
      <c r="A10" s="1"/>
      <c r="B10" s="131" t="s">
        <v>100</v>
      </c>
      <c r="C10" s="132"/>
      <c r="D10" s="133"/>
      <c r="E10" s="7">
        <v>0</v>
      </c>
      <c r="F10" s="8" t="s">
        <v>3</v>
      </c>
      <c r="G10" s="1"/>
    </row>
    <row r="11" spans="1:7" x14ac:dyDescent="0.25">
      <c r="A11" s="1"/>
      <c r="B11" s="138" t="s">
        <v>210</v>
      </c>
      <c r="C11" s="139"/>
      <c r="D11" s="140"/>
      <c r="E11" s="7">
        <v>0</v>
      </c>
      <c r="F11" s="8" t="s">
        <v>3</v>
      </c>
      <c r="G11" s="1"/>
    </row>
    <row r="12" spans="1:7" x14ac:dyDescent="0.25">
      <c r="A12" s="1"/>
      <c r="B12" s="134" t="s">
        <v>101</v>
      </c>
      <c r="C12" s="135"/>
      <c r="D12" s="155"/>
      <c r="E12" s="10">
        <f>E11-E10</f>
        <v>0</v>
      </c>
      <c r="F12" s="11" t="s">
        <v>3</v>
      </c>
      <c r="G12" s="1"/>
    </row>
    <row r="13" spans="1:7" x14ac:dyDescent="0.25">
      <c r="A13" s="1"/>
      <c r="B13" s="128" t="s">
        <v>94</v>
      </c>
      <c r="C13" s="129"/>
      <c r="D13" s="129"/>
      <c r="E13" s="129"/>
      <c r="F13" s="130"/>
      <c r="G13" s="1"/>
    </row>
    <row r="14" spans="1:7" x14ac:dyDescent="0.25">
      <c r="A14" s="1"/>
      <c r="B14" s="138" t="s">
        <v>211</v>
      </c>
      <c r="C14" s="139"/>
      <c r="D14" s="140"/>
      <c r="E14" s="9">
        <v>0</v>
      </c>
      <c r="F14" s="8" t="s">
        <v>3</v>
      </c>
      <c r="G14" s="1"/>
    </row>
    <row r="15" spans="1:7" x14ac:dyDescent="0.25">
      <c r="A15" s="1"/>
      <c r="B15" s="131" t="s">
        <v>212</v>
      </c>
      <c r="C15" s="132"/>
      <c r="D15" s="133"/>
      <c r="E15" s="9">
        <v>0</v>
      </c>
      <c r="F15" s="8" t="s">
        <v>3</v>
      </c>
      <c r="G15" s="1"/>
    </row>
    <row r="16" spans="1:7" x14ac:dyDescent="0.25">
      <c r="A16" s="1"/>
      <c r="B16" s="134" t="s">
        <v>101</v>
      </c>
      <c r="C16" s="135"/>
      <c r="D16" s="155"/>
      <c r="E16" s="10">
        <f>E15-E14</f>
        <v>0</v>
      </c>
      <c r="F16" s="11" t="s">
        <v>3</v>
      </c>
      <c r="G16" s="1"/>
    </row>
    <row r="17" spans="1:7" x14ac:dyDescent="0.25">
      <c r="A17" s="1"/>
      <c r="B17" s="32" t="s">
        <v>213</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ITV+IE/THZHT3VnqXsTa+v9X4ySioynxastAfmd6CaNc+BdFRFOQWqp/tZlVumQ4N3qCHIHxx9SWhSFxbEgNg==" saltValue="aALNNeuCpBvVVSZyd5DhM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0" t="s">
        <v>257</v>
      </c>
      <c r="C3" s="120"/>
      <c r="D3" s="120"/>
      <c r="E3" s="120"/>
      <c r="F3" s="120"/>
      <c r="G3" s="120"/>
      <c r="H3" s="120"/>
      <c r="I3" s="120"/>
      <c r="J3" s="120"/>
      <c r="K3" s="120"/>
      <c r="L3" s="1"/>
    </row>
    <row r="4" spans="1:12" ht="15" customHeight="1" x14ac:dyDescent="0.25">
      <c r="A4" s="1"/>
      <c r="B4" s="120"/>
      <c r="C4" s="120"/>
      <c r="D4" s="120"/>
      <c r="E4" s="120"/>
      <c r="F4" s="120"/>
      <c r="G4" s="120"/>
      <c r="H4" s="120"/>
      <c r="I4" s="120"/>
      <c r="J4" s="120"/>
      <c r="K4" s="12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8" t="s">
        <v>221</v>
      </c>
      <c r="C8" s="129"/>
      <c r="D8" s="129"/>
      <c r="E8" s="129"/>
      <c r="F8" s="129"/>
      <c r="G8" s="129"/>
      <c r="H8" s="129"/>
      <c r="I8" s="129"/>
      <c r="J8" s="129"/>
      <c r="K8" s="130"/>
      <c r="L8" s="1"/>
    </row>
    <row r="9" spans="1:12" ht="39.75" customHeight="1" x14ac:dyDescent="0.25">
      <c r="A9" s="1"/>
      <c r="B9" s="18" t="s">
        <v>0</v>
      </c>
      <c r="C9" s="18" t="s">
        <v>1</v>
      </c>
      <c r="D9" s="163" t="s">
        <v>247</v>
      </c>
      <c r="E9" s="164"/>
      <c r="F9" s="163" t="s">
        <v>2</v>
      </c>
      <c r="G9" s="164"/>
      <c r="H9" s="163" t="s">
        <v>246</v>
      </c>
      <c r="I9" s="164"/>
      <c r="J9" s="163" t="s">
        <v>30</v>
      </c>
      <c r="K9" s="164"/>
      <c r="L9" s="1"/>
    </row>
    <row r="10" spans="1:12" x14ac:dyDescent="0.25">
      <c r="A10" s="1"/>
      <c r="B10" s="98" t="s">
        <v>275</v>
      </c>
      <c r="C10" s="41">
        <v>0</v>
      </c>
      <c r="D10" s="9">
        <v>0</v>
      </c>
      <c r="E10" s="14" t="s">
        <v>3</v>
      </c>
      <c r="F10" s="9">
        <f>IFERROR(D10/C10,0)</f>
        <v>0</v>
      </c>
      <c r="G10" s="14" t="s">
        <v>3</v>
      </c>
      <c r="H10" s="44">
        <v>0</v>
      </c>
      <c r="I10" s="14" t="s">
        <v>3</v>
      </c>
      <c r="J10" s="44">
        <v>0</v>
      </c>
      <c r="K10" s="14" t="s">
        <v>3</v>
      </c>
      <c r="L10" s="1"/>
    </row>
    <row r="11" spans="1:12" x14ac:dyDescent="0.25">
      <c r="A11" s="1"/>
      <c r="B11" s="86" t="s">
        <v>222</v>
      </c>
      <c r="C11" s="87"/>
      <c r="D11" s="88"/>
      <c r="E11" s="88"/>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O9E7P125CXzEaxAli1m7Xv9DxEQ+kUI+ECwcACjDCnmIdEt54mcv/vZ6tBOBk0CR4uUAZ4A+7/lypacH7NSQ==" saltValue="ue7Or1ARFphToB4tjMr65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258</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228</v>
      </c>
      <c r="C10" s="21">
        <f>'Fane 10. Anlægsprojekter (§ 19)'!H11</f>
        <v>0</v>
      </c>
      <c r="D10" s="14" t="s">
        <v>3</v>
      </c>
      <c r="E10" s="9">
        <f>SUM('Fane 10. Anlægsprojekter (§ 19)'!F11,'Fane 10. Anlægsprojekter (§ 19)'!J11)</f>
        <v>0</v>
      </c>
      <c r="F10" s="14" t="s">
        <v>3</v>
      </c>
      <c r="G10" s="1"/>
    </row>
    <row r="11" spans="1:7" x14ac:dyDescent="0.25">
      <c r="A11" s="1"/>
      <c r="B11" s="23" t="s">
        <v>272</v>
      </c>
      <c r="C11" s="21">
        <v>191631</v>
      </c>
      <c r="D11" s="14" t="s">
        <v>3</v>
      </c>
      <c r="E11" s="9">
        <v>666056</v>
      </c>
      <c r="F11" s="14" t="s">
        <v>3</v>
      </c>
      <c r="G11" s="1"/>
    </row>
    <row r="12" spans="1:7" x14ac:dyDescent="0.25">
      <c r="A12" s="1"/>
      <c r="B12" s="23" t="s">
        <v>273</v>
      </c>
      <c r="C12" s="21">
        <v>65939</v>
      </c>
      <c r="D12" s="14" t="s">
        <v>3</v>
      </c>
      <c r="E12" s="9">
        <v>264345</v>
      </c>
      <c r="F12" s="14" t="s">
        <v>3</v>
      </c>
      <c r="G12" s="1"/>
    </row>
    <row r="13" spans="1:7" x14ac:dyDescent="0.25">
      <c r="A13" s="1"/>
      <c r="B13" s="32" t="s">
        <v>156</v>
      </c>
      <c r="C13" s="12">
        <f>SUM(C10:C12)</f>
        <v>257570</v>
      </c>
      <c r="D13" s="13" t="s">
        <v>3</v>
      </c>
      <c r="E13" s="12">
        <f>SUM(E10:E12)</f>
        <v>930401</v>
      </c>
      <c r="F13" s="13" t="s">
        <v>3</v>
      </c>
      <c r="G13" s="1"/>
    </row>
    <row r="14" spans="1:7" x14ac:dyDescent="0.25">
      <c r="A14" s="1"/>
      <c r="B14" s="32" t="s">
        <v>214</v>
      </c>
      <c r="C14" s="12">
        <f>C13*(1+'Fane 15. Nøgletal'!C15)</f>
        <v>266739.49200000003</v>
      </c>
      <c r="D14" s="13" t="s">
        <v>3</v>
      </c>
      <c r="E14" s="12">
        <f>E13*(1+'Fane 15. Nøgletal'!C15)</f>
        <v>963523.27560000005</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oFIfv90CXmCHgiFiSOYnBWyat6H3pLC0tmNJg7eD7q7yaA96u1IB4mw1S+o2kTrqurIoc+1FCfHboDk6Wkf8Q==" saltValue="TxuXOldT9n2SG2y9m0x7T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259</v>
      </c>
      <c r="C3" s="120"/>
      <c r="D3" s="120"/>
      <c r="E3" s="120"/>
      <c r="F3" s="120"/>
      <c r="G3" s="1"/>
    </row>
    <row r="4" spans="1:7" ht="1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97</v>
      </c>
      <c r="C8" s="129"/>
      <c r="D8" s="129"/>
      <c r="E8" s="129"/>
      <c r="F8" s="130"/>
      <c r="G8" s="1"/>
    </row>
    <row r="9" spans="1:7" x14ac:dyDescent="0.25">
      <c r="A9" s="1"/>
      <c r="B9" s="84" t="s">
        <v>17</v>
      </c>
      <c r="C9" s="84" t="s">
        <v>11</v>
      </c>
      <c r="D9" s="85"/>
      <c r="E9" s="84" t="s">
        <v>31</v>
      </c>
      <c r="F9" s="31"/>
      <c r="G9" s="1"/>
    </row>
    <row r="10" spans="1:7" x14ac:dyDescent="0.25">
      <c r="A10" s="1"/>
      <c r="B10" s="23" t="s">
        <v>288</v>
      </c>
      <c r="C10" s="21">
        <v>0</v>
      </c>
      <c r="D10" s="14" t="s">
        <v>3</v>
      </c>
      <c r="E10" s="9">
        <v>0</v>
      </c>
      <c r="F10" s="14" t="s">
        <v>3</v>
      </c>
      <c r="G10" s="1"/>
    </row>
    <row r="11" spans="1:7" x14ac:dyDescent="0.25">
      <c r="A11" s="1"/>
      <c r="B11" s="32" t="s">
        <v>234</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5"/>
      <c r="C14" s="165"/>
      <c r="D14" s="165"/>
      <c r="E14" s="165"/>
      <c r="F14" s="165"/>
      <c r="G14" s="1"/>
    </row>
    <row r="15" spans="1:7" x14ac:dyDescent="0.25">
      <c r="A15" s="1"/>
      <c r="B15" s="59"/>
      <c r="C15" s="59"/>
      <c r="D15" s="59"/>
      <c r="E15" s="59"/>
      <c r="F15" s="60"/>
      <c r="G15" s="1"/>
    </row>
    <row r="16" spans="1:7" x14ac:dyDescent="0.25">
      <c r="A16" s="1"/>
      <c r="B16" s="61"/>
      <c r="C16" s="62"/>
      <c r="D16" s="63"/>
      <c r="E16" s="64"/>
      <c r="F16" s="63"/>
      <c r="G16" s="1"/>
    </row>
    <row r="17" spans="1:7" x14ac:dyDescent="0.25">
      <c r="A17" s="1"/>
      <c r="B17" s="61"/>
      <c r="C17" s="62"/>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5"/>
      <c r="C21" s="165"/>
      <c r="D21" s="165"/>
      <c r="E21" s="165"/>
      <c r="F21" s="165"/>
      <c r="G21" s="1"/>
    </row>
    <row r="22" spans="1:7" x14ac:dyDescent="0.25">
      <c r="A22" s="1"/>
      <c r="B22" s="59"/>
      <c r="C22" s="59"/>
      <c r="D22" s="59"/>
      <c r="E22" s="59"/>
      <c r="F22" s="60"/>
      <c r="G22" s="1"/>
    </row>
    <row r="23" spans="1:7" x14ac:dyDescent="0.25">
      <c r="A23" s="1"/>
      <c r="B23" s="61"/>
      <c r="C23" s="62"/>
      <c r="D23" s="63"/>
      <c r="E23" s="64"/>
      <c r="F23" s="63"/>
      <c r="G23" s="1"/>
    </row>
    <row r="24" spans="1:7" x14ac:dyDescent="0.25">
      <c r="A24" s="1"/>
      <c r="B24" s="61"/>
      <c r="C24" s="62"/>
      <c r="D24" s="63"/>
      <c r="E24" s="64"/>
      <c r="F24" s="63"/>
      <c r="G24" s="1"/>
    </row>
    <row r="25" spans="1:7" x14ac:dyDescent="0.25">
      <c r="A25" s="1"/>
      <c r="B25" s="65"/>
      <c r="C25" s="66"/>
      <c r="D25" s="67"/>
      <c r="E25" s="66"/>
      <c r="F25" s="67"/>
      <c r="G25" s="1"/>
    </row>
    <row r="26" spans="1:7" x14ac:dyDescent="0.25">
      <c r="A26" s="1"/>
      <c r="B26" s="65"/>
      <c r="C26" s="66"/>
      <c r="D26" s="67"/>
      <c r="E26" s="66"/>
      <c r="F26" s="67"/>
      <c r="G26" s="1"/>
    </row>
    <row r="27" spans="1:7" x14ac:dyDescent="0.25">
      <c r="A27" s="1"/>
      <c r="B27" s="58"/>
      <c r="C27" s="58"/>
      <c r="D27" s="58"/>
      <c r="E27" s="58"/>
      <c r="F27" s="58"/>
      <c r="G27" s="1"/>
    </row>
    <row r="28" spans="1:7" x14ac:dyDescent="0.25">
      <c r="A28" s="1"/>
      <c r="B28" s="165"/>
      <c r="C28" s="165"/>
      <c r="D28" s="165"/>
      <c r="E28" s="165"/>
      <c r="F28" s="165"/>
      <c r="G28" s="1"/>
    </row>
    <row r="29" spans="1:7" x14ac:dyDescent="0.25">
      <c r="A29" s="1"/>
      <c r="B29" s="59"/>
      <c r="C29" s="59"/>
      <c r="D29" s="59"/>
      <c r="E29" s="59"/>
      <c r="F29" s="60"/>
      <c r="G29" s="1"/>
    </row>
    <row r="30" spans="1:7" x14ac:dyDescent="0.25">
      <c r="A30" s="1"/>
      <c r="B30" s="61"/>
      <c r="C30" s="62"/>
      <c r="D30" s="63"/>
      <c r="E30" s="64"/>
      <c r="F30" s="63"/>
      <c r="G30" s="1"/>
    </row>
    <row r="31" spans="1:7" x14ac:dyDescent="0.25">
      <c r="A31" s="1"/>
      <c r="B31" s="61"/>
      <c r="C31" s="62"/>
      <c r="D31" s="63"/>
      <c r="E31" s="64"/>
      <c r="F31" s="63"/>
      <c r="G31" s="1"/>
    </row>
    <row r="32" spans="1:7" x14ac:dyDescent="0.25">
      <c r="A32" s="1"/>
      <c r="B32" s="65"/>
      <c r="C32" s="66"/>
      <c r="D32" s="67"/>
      <c r="E32" s="66"/>
      <c r="F32" s="67"/>
      <c r="G32" s="1"/>
    </row>
    <row r="33" spans="1:7" x14ac:dyDescent="0.25">
      <c r="A33" s="1"/>
      <c r="B33" s="65"/>
      <c r="C33" s="66"/>
      <c r="D33" s="67"/>
      <c r="E33" s="66"/>
      <c r="F33" s="67"/>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yBfZxwBgvP4s9JegGC6Mipu/EpHP1dFzBmU/JmMeqE5nT+jeWwOtO/T5gy8x/AhQ68KwHdYpvBVaaln9zl/lZQ==" saltValue="WJh6uy81y7zI/Cg0zL0FZ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260</v>
      </c>
      <c r="C3" s="136"/>
      <c r="D3" s="136"/>
      <c r="E3" s="136"/>
      <c r="F3" s="136"/>
      <c r="G3" s="1"/>
    </row>
    <row r="4" spans="1:7" ht="15" customHeight="1" x14ac:dyDescent="0.25">
      <c r="A4" s="1"/>
      <c r="B4" s="136"/>
      <c r="C4" s="136"/>
      <c r="D4" s="136"/>
      <c r="E4" s="136"/>
      <c r="F4" s="136"/>
      <c r="G4" s="1"/>
    </row>
    <row r="5" spans="1:7" x14ac:dyDescent="0.25">
      <c r="A5" s="1"/>
      <c r="B5" s="136"/>
      <c r="C5" s="136"/>
      <c r="D5" s="136"/>
      <c r="E5" s="136"/>
      <c r="F5" s="136"/>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8" t="s">
        <v>91</v>
      </c>
      <c r="C9" s="129"/>
      <c r="D9" s="129"/>
      <c r="E9" s="129"/>
      <c r="F9" s="130"/>
      <c r="G9" s="1"/>
    </row>
    <row r="10" spans="1:7" x14ac:dyDescent="0.25">
      <c r="A10" s="1"/>
      <c r="B10" s="160" t="s">
        <v>226</v>
      </c>
      <c r="C10" s="161"/>
      <c r="D10" s="162"/>
      <c r="E10" s="9">
        <v>0</v>
      </c>
      <c r="F10" s="14" t="s">
        <v>3</v>
      </c>
      <c r="G10" s="1"/>
    </row>
    <row r="11" spans="1:7" x14ac:dyDescent="0.25">
      <c r="A11" s="1"/>
      <c r="B11" s="122" t="s">
        <v>10</v>
      </c>
      <c r="C11" s="123"/>
      <c r="D11" s="124"/>
      <c r="E11" s="9">
        <f>-E10*'Fane 5. Individuelt eff. krav'!G9</f>
        <v>0</v>
      </c>
      <c r="F11" s="14" t="s">
        <v>3</v>
      </c>
      <c r="G11" s="1"/>
    </row>
    <row r="12" spans="1:7" x14ac:dyDescent="0.25">
      <c r="A12" s="1"/>
      <c r="B12" s="122" t="s">
        <v>24</v>
      </c>
      <c r="C12" s="123"/>
      <c r="D12" s="124"/>
      <c r="E12" s="9">
        <f>-E10*'Fane 15. Nøgletal'!C31</f>
        <v>0</v>
      </c>
      <c r="F12" s="14" t="s">
        <v>3</v>
      </c>
      <c r="G12" s="1"/>
    </row>
    <row r="13" spans="1:7" x14ac:dyDescent="0.25">
      <c r="A13" s="1"/>
      <c r="B13" s="128" t="s">
        <v>92</v>
      </c>
      <c r="C13" s="129"/>
      <c r="D13" s="130"/>
      <c r="E13" s="12">
        <f>SUM(E10:E12)*(1+'Fane 15. Nøgletal'!C15)^2</f>
        <v>0</v>
      </c>
      <c r="F13" s="13" t="s">
        <v>3</v>
      </c>
      <c r="G13" s="1"/>
    </row>
    <row r="14" spans="1:7" x14ac:dyDescent="0.25">
      <c r="A14" s="1"/>
      <c r="B14" s="1"/>
      <c r="C14" s="1"/>
      <c r="D14" s="1"/>
      <c r="E14" s="1"/>
      <c r="F14" s="1"/>
      <c r="G14" s="1"/>
    </row>
    <row r="15" spans="1:7" ht="15" customHeight="1" x14ac:dyDescent="0.25">
      <c r="A15" s="1"/>
      <c r="B15" s="128" t="s">
        <v>130</v>
      </c>
      <c r="C15" s="129"/>
      <c r="D15" s="129"/>
      <c r="E15" s="129"/>
      <c r="F15" s="130"/>
      <c r="G15" s="1"/>
    </row>
    <row r="16" spans="1:7" x14ac:dyDescent="0.25">
      <c r="A16" s="1"/>
      <c r="B16" s="160" t="s">
        <v>226</v>
      </c>
      <c r="C16" s="161"/>
      <c r="D16" s="162"/>
      <c r="E16" s="9">
        <v>0</v>
      </c>
      <c r="F16" s="14" t="s">
        <v>3</v>
      </c>
      <c r="G16" s="1"/>
    </row>
    <row r="17" spans="1:7" x14ac:dyDescent="0.25">
      <c r="A17" s="1"/>
      <c r="B17" s="122" t="s">
        <v>10</v>
      </c>
      <c r="C17" s="123"/>
      <c r="D17" s="124"/>
      <c r="E17" s="9">
        <f>-E16*'Fane 5. Individuelt eff. krav'!G9</f>
        <v>0</v>
      </c>
      <c r="F17" s="14" t="s">
        <v>3</v>
      </c>
      <c r="G17" s="1"/>
    </row>
    <row r="18" spans="1:7" x14ac:dyDescent="0.25">
      <c r="A18" s="1"/>
      <c r="B18" s="122" t="s">
        <v>24</v>
      </c>
      <c r="C18" s="123"/>
      <c r="D18" s="124"/>
      <c r="E18" s="9">
        <f>-E16*'Fane 15. Nøgletal'!C31</f>
        <v>0</v>
      </c>
      <c r="F18" s="14" t="s">
        <v>3</v>
      </c>
      <c r="G18" s="1"/>
    </row>
    <row r="19" spans="1:7" x14ac:dyDescent="0.25">
      <c r="A19" s="1"/>
      <c r="B19" s="128" t="s">
        <v>131</v>
      </c>
      <c r="C19" s="129"/>
      <c r="D19" s="130"/>
      <c r="E19" s="12">
        <f>SUM(E16:E18)*(1+'Fane 15. Nøgletal'!C15)^3</f>
        <v>0</v>
      </c>
      <c r="F19" s="13" t="s">
        <v>3</v>
      </c>
      <c r="G19" s="1"/>
    </row>
    <row r="20" spans="1:7" x14ac:dyDescent="0.25">
      <c r="A20" s="1"/>
      <c r="B20" s="1"/>
      <c r="C20" s="1"/>
      <c r="D20" s="1"/>
      <c r="E20" s="1"/>
      <c r="F20" s="1"/>
      <c r="G20" s="1"/>
    </row>
    <row r="21" spans="1:7" ht="15" customHeight="1" x14ac:dyDescent="0.25">
      <c r="A21" s="1"/>
      <c r="B21" s="128" t="s">
        <v>157</v>
      </c>
      <c r="C21" s="129"/>
      <c r="D21" s="129"/>
      <c r="E21" s="129"/>
      <c r="F21" s="130"/>
      <c r="G21" s="1"/>
    </row>
    <row r="22" spans="1:7" x14ac:dyDescent="0.25">
      <c r="A22" s="1"/>
      <c r="B22" s="160" t="s">
        <v>226</v>
      </c>
      <c r="C22" s="161"/>
      <c r="D22" s="162"/>
      <c r="E22" s="9">
        <v>0</v>
      </c>
      <c r="F22" s="14" t="s">
        <v>3</v>
      </c>
      <c r="G22" s="1"/>
    </row>
    <row r="23" spans="1:7" x14ac:dyDescent="0.25">
      <c r="A23" s="1"/>
      <c r="B23" s="122" t="s">
        <v>10</v>
      </c>
      <c r="C23" s="123"/>
      <c r="D23" s="124"/>
      <c r="E23" s="9">
        <f>-E22*'Fane 5. Individuelt eff. krav'!G9</f>
        <v>0</v>
      </c>
      <c r="F23" s="14" t="s">
        <v>3</v>
      </c>
      <c r="G23" s="1"/>
    </row>
    <row r="24" spans="1:7" x14ac:dyDescent="0.25">
      <c r="A24" s="1"/>
      <c r="B24" s="122" t="s">
        <v>24</v>
      </c>
      <c r="C24" s="123"/>
      <c r="D24" s="124"/>
      <c r="E24" s="9">
        <f>-E22*'Fane 15. Nøgletal'!C31</f>
        <v>0</v>
      </c>
      <c r="F24" s="14" t="s">
        <v>3</v>
      </c>
      <c r="G24" s="1"/>
    </row>
    <row r="25" spans="1:7" x14ac:dyDescent="0.25">
      <c r="A25" s="1"/>
      <c r="B25" s="128" t="s">
        <v>158</v>
      </c>
      <c r="C25" s="129"/>
      <c r="D25" s="130"/>
      <c r="E25" s="12">
        <f>SUM(E22:E24)*(1+'Fane 15. Nøgletal'!C15)^4</f>
        <v>0</v>
      </c>
      <c r="F25" s="13" t="s">
        <v>3</v>
      </c>
      <c r="G25" s="1"/>
    </row>
    <row r="26" spans="1:7" x14ac:dyDescent="0.25">
      <c r="A26" s="1"/>
      <c r="B26" s="1"/>
      <c r="C26" s="1"/>
      <c r="D26" s="1"/>
      <c r="E26" s="1"/>
      <c r="F26" s="1"/>
      <c r="G26" s="1"/>
    </row>
    <row r="27" spans="1:7" ht="15" customHeight="1" x14ac:dyDescent="0.25">
      <c r="A27" s="1"/>
      <c r="B27" s="128" t="s">
        <v>215</v>
      </c>
      <c r="C27" s="129"/>
      <c r="D27" s="129"/>
      <c r="E27" s="129"/>
      <c r="F27" s="130"/>
      <c r="G27" s="1"/>
    </row>
    <row r="28" spans="1:7" ht="14.25" customHeight="1" x14ac:dyDescent="0.25">
      <c r="A28" s="1"/>
      <c r="B28" s="160" t="s">
        <v>226</v>
      </c>
      <c r="C28" s="161"/>
      <c r="D28" s="162"/>
      <c r="E28" s="9">
        <v>0</v>
      </c>
      <c r="F28" s="14" t="s">
        <v>3</v>
      </c>
      <c r="G28" s="1"/>
    </row>
    <row r="29" spans="1:7" x14ac:dyDescent="0.25">
      <c r="A29" s="1"/>
      <c r="B29" s="122" t="s">
        <v>10</v>
      </c>
      <c r="C29" s="123"/>
      <c r="D29" s="124"/>
      <c r="E29" s="9">
        <f>-E28*'Fane 5. Individuelt eff. krav'!G9</f>
        <v>0</v>
      </c>
      <c r="F29" s="14" t="s">
        <v>3</v>
      </c>
      <c r="G29" s="1"/>
    </row>
    <row r="30" spans="1:7" x14ac:dyDescent="0.25">
      <c r="A30" s="1"/>
      <c r="B30" s="122" t="s">
        <v>24</v>
      </c>
      <c r="C30" s="123"/>
      <c r="D30" s="124"/>
      <c r="E30" s="9">
        <f>-E28*'Fane 15. Nøgletal'!C31</f>
        <v>0</v>
      </c>
      <c r="F30" s="14" t="s">
        <v>3</v>
      </c>
      <c r="G30" s="1"/>
    </row>
    <row r="31" spans="1:7" x14ac:dyDescent="0.25">
      <c r="A31" s="1"/>
      <c r="B31" s="128" t="s">
        <v>216</v>
      </c>
      <c r="C31" s="129"/>
      <c r="D31" s="130"/>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4xT3o/l7UaGfP2csNUAaC1tTOuVIiUXmd0PW2OOj+RrH3T2uGdG8hLWe9goJdFEvn1mYpz2k0eI72O0gIACNQ==" saltValue="Fd0BoYEzx00y3SfYFCtUd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261</v>
      </c>
      <c r="C3" s="136"/>
      <c r="D3" s="136"/>
      <c r="E3" s="136"/>
      <c r="F3" s="136"/>
      <c r="G3" s="1"/>
    </row>
    <row r="4" spans="1:7" ht="25.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8" t="s">
        <v>132</v>
      </c>
      <c r="C8" s="129"/>
      <c r="D8" s="129"/>
      <c r="E8" s="129"/>
      <c r="F8" s="130"/>
      <c r="G8" s="1"/>
    </row>
    <row r="9" spans="1:7" ht="15" customHeight="1" x14ac:dyDescent="0.25">
      <c r="A9" s="1"/>
      <c r="B9" s="30" t="s">
        <v>133</v>
      </c>
      <c r="C9" s="30" t="s">
        <v>11</v>
      </c>
      <c r="D9" s="31"/>
      <c r="E9" s="30" t="s">
        <v>31</v>
      </c>
      <c r="F9" s="31"/>
      <c r="G9" s="1"/>
    </row>
    <row r="10" spans="1:7" x14ac:dyDescent="0.25">
      <c r="A10" s="1"/>
      <c r="B10" s="80" t="s">
        <v>289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Sw1kdi2uz3pH0UeSgiIYHwBj1li0L+x0+bahxpbc5HiSmWd2XRAh5yPQgNj289uWnJvZaIud+dWeH7Ys1Sk3UQ==" saltValue="0/2MTwobNgfdGfQm1qLdB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262</v>
      </c>
      <c r="C3" s="136"/>
      <c r="D3" s="136"/>
      <c r="E3" s="136"/>
      <c r="F3" s="136"/>
      <c r="G3" s="1"/>
    </row>
    <row r="4" spans="1:7" ht="25.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8" t="s">
        <v>93</v>
      </c>
      <c r="C9" s="129"/>
      <c r="D9" s="129"/>
      <c r="E9" s="129"/>
      <c r="F9" s="130"/>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236</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5"/>
      <c r="C15" s="165"/>
      <c r="D15" s="165"/>
      <c r="E15" s="165"/>
      <c r="F15" s="165"/>
      <c r="G15" s="1"/>
    </row>
    <row r="16" spans="1:7" x14ac:dyDescent="0.25">
      <c r="A16" s="1"/>
      <c r="B16" s="60"/>
      <c r="C16" s="60"/>
      <c r="D16" s="60"/>
      <c r="E16" s="60"/>
      <c r="F16" s="60"/>
      <c r="G16" s="1"/>
    </row>
    <row r="17" spans="1:7" x14ac:dyDescent="0.25">
      <c r="A17" s="1"/>
      <c r="B17" s="61"/>
      <c r="C17" s="64"/>
      <c r="D17" s="63"/>
      <c r="E17" s="64"/>
      <c r="F17" s="63"/>
      <c r="G17" s="1"/>
    </row>
    <row r="18" spans="1:7" x14ac:dyDescent="0.25">
      <c r="A18" s="1"/>
      <c r="B18" s="65"/>
      <c r="C18" s="66"/>
      <c r="D18" s="67"/>
      <c r="E18" s="66"/>
      <c r="F18" s="67"/>
      <c r="G18" s="1"/>
    </row>
    <row r="19" spans="1:7" x14ac:dyDescent="0.25">
      <c r="A19" s="1"/>
      <c r="B19" s="65"/>
      <c r="C19" s="66"/>
      <c r="D19" s="67"/>
      <c r="E19" s="66"/>
      <c r="F19" s="67"/>
      <c r="G19" s="1"/>
    </row>
    <row r="20" spans="1:7" x14ac:dyDescent="0.25">
      <c r="A20" s="1"/>
      <c r="B20" s="58"/>
      <c r="C20" s="58"/>
      <c r="D20" s="58"/>
      <c r="E20" s="58"/>
      <c r="F20" s="58"/>
      <c r="G20" s="1"/>
    </row>
    <row r="21" spans="1:7" x14ac:dyDescent="0.25">
      <c r="A21" s="1"/>
      <c r="B21" s="165"/>
      <c r="C21" s="165"/>
      <c r="D21" s="165"/>
      <c r="E21" s="165"/>
      <c r="F21" s="165"/>
      <c r="G21" s="1"/>
    </row>
    <row r="22" spans="1:7" x14ac:dyDescent="0.25">
      <c r="A22" s="1"/>
      <c r="B22" s="60"/>
      <c r="C22" s="60"/>
      <c r="D22" s="60"/>
      <c r="E22" s="60"/>
      <c r="F22" s="60"/>
      <c r="G22" s="1"/>
    </row>
    <row r="23" spans="1:7" x14ac:dyDescent="0.25">
      <c r="A23" s="1"/>
      <c r="B23" s="61"/>
      <c r="C23" s="64"/>
      <c r="D23" s="63"/>
      <c r="E23" s="64"/>
      <c r="F23" s="63"/>
      <c r="G23" s="1"/>
    </row>
    <row r="24" spans="1:7" x14ac:dyDescent="0.25">
      <c r="A24" s="1"/>
      <c r="B24" s="65"/>
      <c r="C24" s="66"/>
      <c r="D24" s="67"/>
      <c r="E24" s="66"/>
      <c r="F24" s="67"/>
      <c r="G24" s="1"/>
    </row>
    <row r="25" spans="1:7" x14ac:dyDescent="0.25">
      <c r="A25" s="1"/>
      <c r="B25" s="65"/>
      <c r="C25" s="66"/>
      <c r="D25" s="67"/>
      <c r="E25" s="66"/>
      <c r="F25" s="67"/>
      <c r="G25" s="1"/>
    </row>
    <row r="26" spans="1:7" x14ac:dyDescent="0.25">
      <c r="A26" s="1"/>
      <c r="B26" s="58"/>
      <c r="C26" s="58"/>
      <c r="D26" s="58"/>
      <c r="E26" s="58"/>
      <c r="F26" s="58"/>
      <c r="G26" s="1"/>
    </row>
    <row r="27" spans="1:7" x14ac:dyDescent="0.25">
      <c r="A27" s="1"/>
      <c r="B27" s="165"/>
      <c r="C27" s="165"/>
      <c r="D27" s="165"/>
      <c r="E27" s="165"/>
      <c r="F27" s="165"/>
      <c r="G27" s="1"/>
    </row>
    <row r="28" spans="1:7" x14ac:dyDescent="0.25">
      <c r="A28" s="1"/>
      <c r="B28" s="60"/>
      <c r="C28" s="60"/>
      <c r="D28" s="60"/>
      <c r="E28" s="60"/>
      <c r="F28" s="60"/>
      <c r="G28" s="1"/>
    </row>
    <row r="29" spans="1:7" x14ac:dyDescent="0.25">
      <c r="A29" s="1"/>
      <c r="B29" s="61"/>
      <c r="C29" s="64"/>
      <c r="D29" s="63"/>
      <c r="E29" s="64"/>
      <c r="F29" s="63"/>
      <c r="G29" s="1"/>
    </row>
    <row r="30" spans="1:7" x14ac:dyDescent="0.25">
      <c r="A30" s="1"/>
      <c r="B30" s="65"/>
      <c r="C30" s="66"/>
      <c r="D30" s="67"/>
      <c r="E30" s="66"/>
      <c r="F30" s="67"/>
      <c r="G30" s="1"/>
    </row>
    <row r="31" spans="1:7" x14ac:dyDescent="0.25">
      <c r="A31" s="1"/>
      <c r="B31" s="65"/>
      <c r="C31" s="66"/>
      <c r="D31" s="67"/>
      <c r="E31" s="66"/>
      <c r="F31" s="6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CRGX+f0i4laLNfaE8Vxgqc4o0HWq5YrnxkZLDjOOEn0v8aL1RuHl/30JQFjHBTR5f/sRVSgdUJ92XEF73rZZxw==" saltValue="15db9z4rc8Gqns6RPddK/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182</v>
      </c>
      <c r="C3" s="120"/>
      <c r="D3" s="120"/>
      <c r="E3" s="1"/>
    </row>
    <row r="4" spans="1:5" ht="15" customHeight="1" x14ac:dyDescent="0.25">
      <c r="A4" s="1"/>
      <c r="B4" s="120"/>
      <c r="C4" s="120"/>
      <c r="D4" s="12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68469148.156452522</v>
      </c>
      <c r="D9" s="8" t="s">
        <v>3</v>
      </c>
      <c r="E9" s="1"/>
    </row>
    <row r="10" spans="1:5" ht="17.25" customHeight="1" x14ac:dyDescent="0.25">
      <c r="A10" s="1"/>
      <c r="B10" s="83" t="s">
        <v>39</v>
      </c>
      <c r="C10" s="7">
        <f>'Fane 11.1. Varige tillæg'!C14</f>
        <v>266739.49200000003</v>
      </c>
      <c r="D10" s="8" t="s">
        <v>3</v>
      </c>
      <c r="E10" s="1"/>
    </row>
    <row r="11" spans="1:5" ht="17.25" customHeight="1" x14ac:dyDescent="0.25">
      <c r="A11" s="1"/>
      <c r="B11" s="83" t="s">
        <v>40</v>
      </c>
      <c r="C11" s="9">
        <f>'Fane 11.1. Varige tillæg'!E14</f>
        <v>963523.27560000005</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269745.54344285332</v>
      </c>
      <c r="D16" s="8" t="s">
        <v>3</v>
      </c>
      <c r="E16" s="1"/>
    </row>
    <row r="17" spans="1:5" ht="17.25" customHeight="1" x14ac:dyDescent="0.25">
      <c r="A17" s="1"/>
      <c r="B17" s="83" t="s">
        <v>10</v>
      </c>
      <c r="C17" s="44">
        <f>-SUM(C9,C10:C16)*'Fane 5. Individuelt eff. krav'!G9</f>
        <v>-328003.97200619278</v>
      </c>
      <c r="D17" s="8" t="s">
        <v>3</v>
      </c>
      <c r="E17" s="1"/>
    </row>
    <row r="18" spans="1:5" ht="17.25" customHeight="1" x14ac:dyDescent="0.25">
      <c r="A18" s="1"/>
      <c r="B18" s="83" t="s">
        <v>24</v>
      </c>
      <c r="C18" s="44">
        <f>-'Fane 4.1. Gen. krav - drift'!G45</f>
        <v>-582036.58709234977</v>
      </c>
      <c r="D18" s="8" t="s">
        <v>3</v>
      </c>
      <c r="E18" s="1"/>
    </row>
    <row r="19" spans="1:5" ht="17.25" customHeight="1" x14ac:dyDescent="0.25">
      <c r="A19" s="1"/>
      <c r="B19" s="83" t="s">
        <v>25</v>
      </c>
      <c r="C19" s="44">
        <f>-'Fane 4.2. Gen. krav - anlæg'!G43</f>
        <v>-636641.18241322739</v>
      </c>
      <c r="D19" s="8" t="s">
        <v>3</v>
      </c>
      <c r="E19" s="47"/>
    </row>
    <row r="20" spans="1:5" ht="17.25" customHeight="1" x14ac:dyDescent="0.25">
      <c r="A20" s="1"/>
      <c r="B20" s="89" t="s">
        <v>21</v>
      </c>
      <c r="C20" s="10">
        <f>SUM(C9:C19)</f>
        <v>68422474.72598362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2181293.5084387204</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95" t="s">
        <v>85</v>
      </c>
      <c r="C25" s="45"/>
      <c r="D25" s="46"/>
      <c r="E25" s="1"/>
    </row>
    <row r="26" spans="1:5" ht="15" customHeight="1" x14ac:dyDescent="0.25">
      <c r="A26" s="1"/>
      <c r="B26" s="83" t="s">
        <v>233</v>
      </c>
      <c r="C26" s="74">
        <f>'Fane 11.2. Engangstillæg'!C12</f>
        <v>0</v>
      </c>
      <c r="D26" s="8" t="s">
        <v>3</v>
      </c>
      <c r="E26" s="1"/>
    </row>
    <row r="27" spans="1:5" ht="15" customHeight="1" x14ac:dyDescent="0.25">
      <c r="A27" s="1"/>
      <c r="B27" s="83" t="s">
        <v>82</v>
      </c>
      <c r="C27" s="74">
        <f>'Fane 11.2. Engangstillæg'!E12</f>
        <v>0</v>
      </c>
      <c r="D27" s="8" t="s">
        <v>3</v>
      </c>
      <c r="E27" s="1"/>
    </row>
    <row r="28" spans="1:5" ht="15" customHeight="1" x14ac:dyDescent="0.25">
      <c r="A28" s="1"/>
      <c r="B28" s="83" t="s">
        <v>240</v>
      </c>
      <c r="C28" s="74">
        <f>-C26*('Fane 15. Nøgletal'!C31+'Fane 5. Individuelt eff. krav'!G9)</f>
        <v>0</v>
      </c>
      <c r="D28" s="8" t="s">
        <v>3</v>
      </c>
      <c r="E28" s="1"/>
    </row>
    <row r="29" spans="1:5" ht="15" customHeight="1" x14ac:dyDescent="0.25">
      <c r="A29" s="1"/>
      <c r="B29" s="83" t="s">
        <v>241</v>
      </c>
      <c r="C29" s="74">
        <f>-C27*('Fane 15. Nøgletal'!C26+'Fane 5. Individuelt eff. krav'!G9)</f>
        <v>0</v>
      </c>
      <c r="D29" s="8" t="s">
        <v>3</v>
      </c>
      <c r="E29" s="1"/>
    </row>
    <row r="30" spans="1:5" ht="15" customHeight="1" x14ac:dyDescent="0.25">
      <c r="A30" s="1"/>
      <c r="B30" s="96" t="s">
        <v>87</v>
      </c>
      <c r="C30" s="10">
        <f>SUM(C26:C29)</f>
        <v>0</v>
      </c>
      <c r="D30" s="11" t="s">
        <v>3</v>
      </c>
      <c r="E30" s="1"/>
    </row>
    <row r="31" spans="1:5" x14ac:dyDescent="0.25">
      <c r="A31" s="1"/>
      <c r="B31" s="32" t="s">
        <v>143</v>
      </c>
      <c r="C31" s="27"/>
      <c r="D31" s="19"/>
      <c r="E31" s="1"/>
    </row>
    <row r="32" spans="1:5" x14ac:dyDescent="0.25">
      <c r="A32" s="1"/>
      <c r="B32" s="30" t="s">
        <v>181</v>
      </c>
      <c r="C32" s="10">
        <f>'Fane 7. Kontrol af ØR2021'!E28</f>
        <v>0</v>
      </c>
      <c r="D32" s="11" t="s">
        <v>3</v>
      </c>
      <c r="E32" s="1"/>
    </row>
    <row r="33" spans="1:5" ht="15" customHeight="1" x14ac:dyDescent="0.25">
      <c r="A33" s="1"/>
      <c r="B33" s="32" t="s">
        <v>186</v>
      </c>
      <c r="C33" s="27"/>
      <c r="D33" s="19"/>
      <c r="E33" s="1"/>
    </row>
    <row r="34" spans="1:5" x14ac:dyDescent="0.25">
      <c r="A34" s="1"/>
      <c r="B34" s="30" t="s">
        <v>186</v>
      </c>
      <c r="C34" s="10">
        <f>'Fane 9. Korrektion af ØR2021'!E17</f>
        <v>0</v>
      </c>
      <c r="D34" s="11" t="s">
        <v>3</v>
      </c>
      <c r="E34" s="1"/>
    </row>
    <row r="35" spans="1:5" x14ac:dyDescent="0.25">
      <c r="A35" s="1"/>
      <c r="B35" s="29" t="s">
        <v>175</v>
      </c>
      <c r="C35" s="27"/>
      <c r="D35" s="19"/>
      <c r="E35" s="1"/>
    </row>
    <row r="36" spans="1:5" x14ac:dyDescent="0.25">
      <c r="A36" s="1"/>
      <c r="B36" s="96" t="s">
        <v>176</v>
      </c>
      <c r="C36" s="10">
        <f>'Fane 8. Skattesagen'!G12</f>
        <v>0</v>
      </c>
      <c r="D36" s="11" t="s">
        <v>3</v>
      </c>
      <c r="E36" s="1"/>
    </row>
    <row r="37" spans="1:5" x14ac:dyDescent="0.25">
      <c r="A37" s="1"/>
      <c r="B37" s="32" t="s">
        <v>90</v>
      </c>
      <c r="C37" s="56">
        <f>SUM(C34,C32,C24,C30,C22,C20,C36)</f>
        <v>70603768.234422341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AUj7bJb/s9Yu00Y1115aMyi/uLA+J1m+CStFbVSV7z37YisrIxobffjAdwmWe6j3HiWdt5+GlcsBnRV/hUPX+g==" saltValue="PVlpV/zf1KG/pPfN3VUUt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6" t="s">
        <v>263</v>
      </c>
      <c r="C3" s="136"/>
      <c r="D3" s="1"/>
    </row>
    <row r="4" spans="1:4" ht="25.5" customHeight="1" x14ac:dyDescent="0.25">
      <c r="A4" s="1"/>
      <c r="B4" s="136"/>
      <c r="C4" s="13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225</v>
      </c>
      <c r="C15" s="69">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217</v>
      </c>
      <c r="C26" s="70">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08G6pBMDK8PIu/Qszap05inzmXt00vyJSbJ0aS0NXwMh+SfajpEvm40JZMQMla227ZN9fOaouNLiApjf+20RFQ==" saltValue="uSnqhDr9PSJHudofzd6vB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187</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68422474.72598362</v>
      </c>
      <c r="D9" s="8" t="s">
        <v>3</v>
      </c>
      <c r="E9" s="1"/>
    </row>
    <row r="10" spans="1:5" ht="15" customHeight="1" x14ac:dyDescent="0.25">
      <c r="A10" s="1"/>
      <c r="B10" s="25" t="s">
        <v>19</v>
      </c>
      <c r="C10" s="7">
        <f>SUM(C9:C9)*'Fane 15. Nøgletal'!C15</f>
        <v>2435840.1002450166</v>
      </c>
      <c r="D10" s="8" t="s">
        <v>3</v>
      </c>
      <c r="E10" s="1"/>
    </row>
    <row r="11" spans="1:5" ht="15" customHeight="1" x14ac:dyDescent="0.25">
      <c r="A11" s="1"/>
      <c r="B11" s="25" t="s">
        <v>10</v>
      </c>
      <c r="C11" s="9">
        <f>-SUM(C9:C10)*'Fane 5. Individuelt eff. krav'!G9</f>
        <v>-332172.20109642774</v>
      </c>
      <c r="D11" s="8" t="s">
        <v>3</v>
      </c>
      <c r="E11" s="1"/>
    </row>
    <row r="12" spans="1:5" ht="15" customHeight="1" x14ac:dyDescent="0.25">
      <c r="A12" s="1"/>
      <c r="B12" s="25" t="s">
        <v>24</v>
      </c>
      <c r="C12" s="9">
        <f>-'Fane 4.1. Gen. krav - drift'!G53</f>
        <v>-590701.94780098065</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69935440.677331224</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2258947.5573391388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Skattesagen'!G13</f>
        <v>0</v>
      </c>
      <c r="D22" s="11" t="s">
        <v>3</v>
      </c>
      <c r="E22" s="1"/>
    </row>
    <row r="23" spans="1:5" x14ac:dyDescent="0.25">
      <c r="A23" s="1"/>
      <c r="B23" s="32" t="s">
        <v>128</v>
      </c>
      <c r="C23" s="12">
        <f>SUM(C14,C16,C18,C20,C22)</f>
        <v>72194388.234670356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KT6w7akAw8bTRHqgbbOaGS1TXPDaU0uRAZNLnPEsAAkUF2oBryauXcZTx6uWDsD3oPi/neZje0QRa5tldUXj2g==" saltValue="HT6e11FzuSwCaiKQGoBtv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188</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235</v>
      </c>
      <c r="C9" s="7">
        <f>'Fane 2.2. Økonomisk ramme 2024'!C14</f>
        <v>69935440.677331224</v>
      </c>
      <c r="D9" s="8" t="s">
        <v>3</v>
      </c>
      <c r="E9" s="1"/>
    </row>
    <row r="10" spans="1:5" ht="15" customHeight="1" x14ac:dyDescent="0.25">
      <c r="A10" s="1"/>
      <c r="B10" s="25" t="s">
        <v>19</v>
      </c>
      <c r="C10" s="7">
        <f>SUM(C9:C9)*'Fane 15. Nøgletal'!C15</f>
        <v>2489701.6881129914</v>
      </c>
      <c r="D10" s="8" t="s">
        <v>3</v>
      </c>
      <c r="E10" s="1"/>
    </row>
    <row r="11" spans="1:5" ht="15" customHeight="1" x14ac:dyDescent="0.25">
      <c r="A11" s="1"/>
      <c r="B11" s="25" t="s">
        <v>10</v>
      </c>
      <c r="C11" s="9">
        <f>-SUM(C9:C10)*'Fane 5. Individuelt eff. krav'!G9</f>
        <v>-339517.23256826127</v>
      </c>
      <c r="D11" s="8" t="s">
        <v>3</v>
      </c>
      <c r="E11" s="1"/>
    </row>
    <row r="12" spans="1:5" ht="15" customHeight="1" x14ac:dyDescent="0.25">
      <c r="A12" s="1"/>
      <c r="B12" s="25" t="s">
        <v>24</v>
      </c>
      <c r="C12" s="9">
        <f>-'Fane 4.1. Gen. krav - drift'!G58</f>
        <v>-599496.31839984178</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71486128.814476103</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2339366.0903804125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Skattesagen'!G14</f>
        <v>0</v>
      </c>
      <c r="D22" s="11" t="s">
        <v>3</v>
      </c>
      <c r="E22" s="1"/>
    </row>
    <row r="23" spans="1:5" x14ac:dyDescent="0.25">
      <c r="A23" s="1"/>
      <c r="B23" s="32" t="s">
        <v>149</v>
      </c>
      <c r="C23" s="12">
        <f>SUM(C14,C16,C18,C20,C22)</f>
        <v>73825494.904856518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cL3cZ6IYYsyDLK4Qud0Sjnz9/NftUl/eAtke5GG4Rt6fLdshRvpuppdbayGOb50qZkHKAqSnDzpfptv1eh6G/w==" saltValue="XMno/vA7SasNp5H/RKR5u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0" t="s">
        <v>189</v>
      </c>
      <c r="C3" s="120"/>
      <c r="D3" s="120"/>
      <c r="E3" s="1"/>
    </row>
    <row r="4" spans="1:5" ht="15" customHeight="1" x14ac:dyDescent="0.25">
      <c r="A4" s="1"/>
      <c r="B4" s="120"/>
      <c r="C4" s="120"/>
      <c r="D4" s="120"/>
      <c r="E4" s="1"/>
    </row>
    <row r="5" spans="1:5" x14ac:dyDescent="0.25">
      <c r="A5" s="1"/>
      <c r="B5" s="121" t="s">
        <v>22</v>
      </c>
      <c r="C5" s="121"/>
      <c r="D5" s="121"/>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190</v>
      </c>
      <c r="C9" s="7">
        <f>'Fane 2.3. Økonomisk ramme 2025'!C14</f>
        <v>71486128.814476103</v>
      </c>
      <c r="D9" s="8" t="s">
        <v>3</v>
      </c>
      <c r="E9" s="1"/>
    </row>
    <row r="10" spans="1:5" ht="15" customHeight="1" x14ac:dyDescent="0.25">
      <c r="A10" s="1"/>
      <c r="B10" s="25" t="s">
        <v>19</v>
      </c>
      <c r="C10" s="7">
        <f>SUM(C9:C9)*'Fane 15. Nøgletal'!C15</f>
        <v>2544906.1857953491</v>
      </c>
      <c r="D10" s="8" t="s">
        <v>3</v>
      </c>
      <c r="E10" s="1"/>
    </row>
    <row r="11" spans="1:5" ht="15" customHeight="1" x14ac:dyDescent="0.25">
      <c r="A11" s="1"/>
      <c r="B11" s="25" t="s">
        <v>10</v>
      </c>
      <c r="C11" s="9">
        <f>-SUM(C9:C10)*'Fane 5. Individuelt eff. krav'!G9</f>
        <v>-347045.39482477674</v>
      </c>
      <c r="D11" s="8" t="s">
        <v>3</v>
      </c>
      <c r="E11" s="1"/>
    </row>
    <row r="12" spans="1:5" ht="15" customHeight="1" x14ac:dyDescent="0.25">
      <c r="A12" s="1"/>
      <c r="B12" s="25" t="s">
        <v>24</v>
      </c>
      <c r="C12" s="9">
        <f>-'Fane 4.1. Gen. krav - drift'!G63</f>
        <v>-608421.61958817858</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73075567.9858585</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2422647.5231979555</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181</v>
      </c>
      <c r="C20" s="10">
        <f>'Fane 7. Kontrol af ØR2021'!E34</f>
        <v>0</v>
      </c>
      <c r="D20" s="11" t="s">
        <v>3</v>
      </c>
      <c r="E20" s="1"/>
    </row>
    <row r="21" spans="1:5" x14ac:dyDescent="0.25">
      <c r="A21" s="1"/>
      <c r="B21" s="29" t="s">
        <v>175</v>
      </c>
      <c r="C21" s="27"/>
      <c r="D21" s="19"/>
      <c r="E21" s="1"/>
    </row>
    <row r="22" spans="1:5" x14ac:dyDescent="0.25">
      <c r="A22" s="1"/>
      <c r="B22" s="96" t="s">
        <v>176</v>
      </c>
      <c r="C22" s="10">
        <f>'Fane 8. Skattesagen'!G15</f>
        <v>0</v>
      </c>
      <c r="D22" s="11" t="s">
        <v>3</v>
      </c>
      <c r="E22" s="1"/>
    </row>
    <row r="23" spans="1:5" x14ac:dyDescent="0.25">
      <c r="A23" s="1"/>
      <c r="B23" s="32" t="s">
        <v>191</v>
      </c>
      <c r="C23" s="12">
        <f>SUM(C14,C16,C18,C20,C22)</f>
        <v>75498215.509056449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S1PWHf7sh8bFC6gakk/Q2X4wZzFHTy9DNZolsAqquQ5nfJ44AktKEzZnvy5EBycuhBUQtnpx2qOWm5z7GHxQ==" saltValue="ln6Swdi5q8Zm8P7EU+Wcs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6" t="s">
        <v>192</v>
      </c>
      <c r="C3" s="136"/>
      <c r="D3" s="136"/>
      <c r="E3" s="136"/>
      <c r="F3" s="136"/>
      <c r="G3" s="1"/>
    </row>
    <row r="4" spans="1:7" ht="29.25" customHeight="1" x14ac:dyDescent="0.25">
      <c r="A4" s="1"/>
      <c r="B4" s="136"/>
      <c r="C4" s="136"/>
      <c r="D4" s="136"/>
      <c r="E4" s="136"/>
      <c r="F4" s="13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219</v>
      </c>
      <c r="C8" s="27"/>
      <c r="D8" s="27"/>
      <c r="E8" s="27"/>
      <c r="F8" s="19"/>
      <c r="G8" s="1"/>
    </row>
    <row r="9" spans="1:7" ht="15" customHeight="1" x14ac:dyDescent="0.25">
      <c r="A9" s="1"/>
      <c r="B9" s="131" t="s">
        <v>193</v>
      </c>
      <c r="C9" s="132"/>
      <c r="D9" s="133"/>
      <c r="E9" s="7">
        <v>69611047.186243668</v>
      </c>
      <c r="F9" s="8" t="s">
        <v>3</v>
      </c>
      <c r="G9" s="1"/>
    </row>
    <row r="10" spans="1:7" ht="15" customHeight="1" x14ac:dyDescent="0.25">
      <c r="A10" s="1"/>
      <c r="B10" s="122" t="s">
        <v>39</v>
      </c>
      <c r="C10" s="123"/>
      <c r="D10" s="124"/>
      <c r="E10" s="7">
        <v>51666.940100000007</v>
      </c>
      <c r="F10" s="8" t="s">
        <v>3</v>
      </c>
      <c r="G10" s="1"/>
    </row>
    <row r="11" spans="1:7" ht="15" customHeight="1" x14ac:dyDescent="0.25">
      <c r="A11" s="1"/>
      <c r="B11" s="122" t="s">
        <v>40</v>
      </c>
      <c r="C11" s="123"/>
      <c r="D11" s="124"/>
      <c r="E11" s="9">
        <v>134803.38800000001</v>
      </c>
      <c r="F11" s="8" t="s">
        <v>3</v>
      </c>
      <c r="G11" s="1"/>
    </row>
    <row r="12" spans="1:7" ht="15" customHeight="1" x14ac:dyDescent="0.25">
      <c r="A12" s="1"/>
      <c r="B12" s="122" t="s">
        <v>27</v>
      </c>
      <c r="C12" s="123"/>
      <c r="D12" s="124"/>
      <c r="E12" s="9">
        <v>0</v>
      </c>
      <c r="F12" s="8" t="s">
        <v>3</v>
      </c>
      <c r="G12" s="1"/>
    </row>
    <row r="13" spans="1:7" ht="15" customHeight="1" x14ac:dyDescent="0.25">
      <c r="A13" s="1"/>
      <c r="B13" s="131" t="s">
        <v>26</v>
      </c>
      <c r="C13" s="132"/>
      <c r="D13" s="133"/>
      <c r="E13" s="9">
        <v>0</v>
      </c>
      <c r="F13" s="8" t="s">
        <v>3</v>
      </c>
      <c r="G13" s="1"/>
    </row>
    <row r="14" spans="1:7" ht="15" customHeight="1" x14ac:dyDescent="0.25">
      <c r="A14" s="1"/>
      <c r="B14" s="131" t="s">
        <v>29</v>
      </c>
      <c r="C14" s="132"/>
      <c r="D14" s="133"/>
      <c r="E14" s="9">
        <v>0</v>
      </c>
      <c r="F14" s="8" t="s">
        <v>3</v>
      </c>
      <c r="G14" s="1"/>
    </row>
    <row r="15" spans="1:7" ht="15" customHeight="1" x14ac:dyDescent="0.25">
      <c r="A15" s="1"/>
      <c r="B15" s="131" t="s">
        <v>28</v>
      </c>
      <c r="C15" s="132"/>
      <c r="D15" s="133"/>
      <c r="E15" s="9">
        <v>0</v>
      </c>
      <c r="F15" s="8" t="s">
        <v>3</v>
      </c>
      <c r="G15" s="1"/>
    </row>
    <row r="16" spans="1:7" ht="15" customHeight="1" x14ac:dyDescent="0.25">
      <c r="A16" s="1"/>
      <c r="B16" s="131" t="s">
        <v>19</v>
      </c>
      <c r="C16" s="132"/>
      <c r="D16" s="133"/>
      <c r="E16" s="9">
        <f>SUM(E9:E15)*'Fane 15. Nøgletal'!C14</f>
        <v>230331.8077973341</v>
      </c>
      <c r="F16" s="8" t="s">
        <v>3</v>
      </c>
      <c r="G16" s="1"/>
    </row>
    <row r="17" spans="1:7" ht="15" customHeight="1" x14ac:dyDescent="0.25">
      <c r="A17" s="1"/>
      <c r="B17" s="131" t="s">
        <v>10</v>
      </c>
      <c r="C17" s="132"/>
      <c r="D17" s="133"/>
      <c r="E17" s="9">
        <v>-328279.11451789486</v>
      </c>
      <c r="F17" s="8" t="s">
        <v>3</v>
      </c>
      <c r="G17" s="1"/>
    </row>
    <row r="18" spans="1:7" ht="15" customHeight="1" x14ac:dyDescent="0.25">
      <c r="A18" s="1"/>
      <c r="B18" s="131" t="s">
        <v>24</v>
      </c>
      <c r="C18" s="132"/>
      <c r="D18" s="133"/>
      <c r="E18" s="9">
        <f>-'Fane 4.1. Gen. krav - drift'!G39</f>
        <v>-586342.49703940842</v>
      </c>
      <c r="F18" s="8" t="s">
        <v>3</v>
      </c>
      <c r="G18" s="1"/>
    </row>
    <row r="19" spans="1:7" ht="15" customHeight="1" x14ac:dyDescent="0.25">
      <c r="A19" s="1"/>
      <c r="B19" s="131" t="s">
        <v>25</v>
      </c>
      <c r="C19" s="132"/>
      <c r="D19" s="133"/>
      <c r="E19" s="9">
        <f>-'Fane 4.2. Gen. krav - anlæg'!G37</f>
        <v>-644079.55413115944</v>
      </c>
      <c r="F19" s="8" t="s">
        <v>3</v>
      </c>
      <c r="G19" s="1"/>
    </row>
    <row r="20" spans="1:7" ht="15" customHeight="1" x14ac:dyDescent="0.25">
      <c r="A20" s="1"/>
      <c r="B20" s="53" t="s">
        <v>21</v>
      </c>
      <c r="C20" s="90"/>
      <c r="D20" s="97"/>
      <c r="E20" s="50">
        <f>SUM(E9:E19)</f>
        <v>68469148.156452522</v>
      </c>
      <c r="F20" s="52" t="s">
        <v>3</v>
      </c>
      <c r="G20" s="1"/>
    </row>
    <row r="21" spans="1:7" ht="15" customHeight="1" x14ac:dyDescent="0.25">
      <c r="A21" s="1"/>
      <c r="B21" s="32" t="s">
        <v>12</v>
      </c>
      <c r="C21" s="27"/>
      <c r="D21" s="27"/>
      <c r="E21" s="27"/>
      <c r="F21" s="19"/>
      <c r="G21" s="1"/>
    </row>
    <row r="22" spans="1:7" ht="15" customHeight="1" x14ac:dyDescent="0.25">
      <c r="A22" s="1"/>
      <c r="B22" s="125" t="s">
        <v>12</v>
      </c>
      <c r="C22" s="126"/>
      <c r="D22" s="127"/>
      <c r="E22" s="10">
        <v>1792540.4613635202</v>
      </c>
      <c r="F22" s="11" t="s">
        <v>3</v>
      </c>
      <c r="G22" s="1"/>
    </row>
    <row r="23" spans="1:7" ht="15" customHeight="1" x14ac:dyDescent="0.25">
      <c r="A23" s="1"/>
      <c r="B23" s="128" t="s">
        <v>86</v>
      </c>
      <c r="C23" s="129"/>
      <c r="D23" s="130"/>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2" t="s">
        <v>81</v>
      </c>
      <c r="C26" s="123"/>
      <c r="D26" s="124"/>
      <c r="E26" s="9">
        <v>0</v>
      </c>
      <c r="F26" s="8" t="s">
        <v>3</v>
      </c>
      <c r="G26" s="1"/>
    </row>
    <row r="27" spans="1:7" ht="15" customHeight="1" x14ac:dyDescent="0.25">
      <c r="A27" s="1"/>
      <c r="B27" s="122" t="s">
        <v>82</v>
      </c>
      <c r="C27" s="123"/>
      <c r="D27" s="123"/>
      <c r="E27" s="9">
        <v>0</v>
      </c>
      <c r="F27" s="8" t="s">
        <v>3</v>
      </c>
      <c r="G27" s="1"/>
    </row>
    <row r="28" spans="1:7" ht="15" customHeight="1" x14ac:dyDescent="0.25">
      <c r="A28" s="1"/>
      <c r="B28" s="134" t="s">
        <v>87</v>
      </c>
      <c r="C28" s="135"/>
      <c r="D28" s="135"/>
      <c r="E28" s="39">
        <v>0</v>
      </c>
      <c r="F28" s="11" t="s">
        <v>3</v>
      </c>
      <c r="G28" s="1"/>
    </row>
    <row r="29" spans="1:7" ht="15" customHeight="1" x14ac:dyDescent="0.25">
      <c r="A29" s="1"/>
      <c r="B29" s="32" t="s">
        <v>143</v>
      </c>
      <c r="C29" s="32"/>
      <c r="D29" s="32"/>
      <c r="E29" s="27"/>
      <c r="F29" s="27"/>
      <c r="G29" s="1"/>
    </row>
    <row r="30" spans="1:7" ht="15" customHeight="1" x14ac:dyDescent="0.25">
      <c r="A30" s="1"/>
      <c r="B30" s="125" t="s">
        <v>142</v>
      </c>
      <c r="C30" s="126"/>
      <c r="D30" s="126"/>
      <c r="E30" s="39">
        <v>0</v>
      </c>
      <c r="F30" s="11" t="s">
        <v>3</v>
      </c>
      <c r="G30" s="1"/>
    </row>
    <row r="31" spans="1:7" x14ac:dyDescent="0.25">
      <c r="A31" s="1"/>
      <c r="B31" s="32" t="s">
        <v>123</v>
      </c>
      <c r="C31" s="27"/>
      <c r="D31" s="27"/>
      <c r="E31" s="27"/>
      <c r="F31" s="27"/>
      <c r="G31" s="1"/>
    </row>
    <row r="32" spans="1:7" ht="15.4" customHeight="1" x14ac:dyDescent="0.25">
      <c r="A32" s="1"/>
      <c r="B32" s="125" t="s">
        <v>123</v>
      </c>
      <c r="C32" s="126"/>
      <c r="D32" s="127"/>
      <c r="E32" s="10">
        <v>0</v>
      </c>
      <c r="F32" s="11" t="s">
        <v>3</v>
      </c>
      <c r="G32" s="1"/>
    </row>
    <row r="33" spans="1:7" ht="15.4" customHeight="1" x14ac:dyDescent="0.25">
      <c r="A33" s="1"/>
      <c r="B33" s="128" t="s">
        <v>175</v>
      </c>
      <c r="C33" s="129"/>
      <c r="D33" s="129"/>
      <c r="E33" s="129"/>
      <c r="F33" s="130"/>
      <c r="G33" s="1"/>
    </row>
    <row r="34" spans="1:7" ht="15.4" customHeight="1" x14ac:dyDescent="0.25">
      <c r="A34" s="1"/>
      <c r="B34" s="96" t="s">
        <v>176</v>
      </c>
      <c r="C34" s="10"/>
      <c r="D34" s="11"/>
      <c r="E34" s="10">
        <f>'Fane 8. Skattesagen'!G11</f>
        <v>0</v>
      </c>
      <c r="F34" s="11" t="s">
        <v>3</v>
      </c>
      <c r="G34" s="1"/>
    </row>
    <row r="35" spans="1:7" x14ac:dyDescent="0.25">
      <c r="A35" s="1"/>
      <c r="B35" s="54" t="s">
        <v>220</v>
      </c>
      <c r="C35" s="55"/>
      <c r="D35" s="19"/>
      <c r="E35" s="45">
        <f>SUM(E32,E30,E28,E24,E22,E20,E34)</f>
        <v>70261688.617816046</v>
      </c>
      <c r="F35" s="51" t="s">
        <v>3</v>
      </c>
      <c r="G35" s="1"/>
    </row>
    <row r="36" spans="1:7" ht="27" customHeight="1" x14ac:dyDescent="0.25">
      <c r="A36" s="1"/>
      <c r="B36" s="131" t="s">
        <v>224</v>
      </c>
      <c r="C36" s="132"/>
      <c r="D36" s="132"/>
      <c r="E36" s="132"/>
      <c r="F36" s="13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sheetProtection algorithmName="SHA-512" hashValue="KIDTsPhvYqjneEpjugkaEhNO0GsQcFmqMrfKwInXdlHTVSNv0+wU3ngSZNLy/lcsTIrvd5EUTgTbAcHJP00DXw==" saltValue="iDVC0FPKPeJoGjQFXL+Mfg=="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6" t="s">
        <v>109</v>
      </c>
      <c r="C2" s="136"/>
      <c r="D2" s="136"/>
      <c r="E2" s="136"/>
      <c r="F2" s="136"/>
      <c r="G2" s="136"/>
      <c r="H2" s="136"/>
      <c r="I2" s="1"/>
    </row>
    <row r="3" spans="1:9" ht="28.5" customHeight="1" x14ac:dyDescent="0.25">
      <c r="A3" s="1"/>
      <c r="B3" s="136"/>
      <c r="C3" s="136"/>
      <c r="D3" s="136"/>
      <c r="E3" s="136"/>
      <c r="F3" s="136"/>
      <c r="G3" s="136"/>
      <c r="H3" s="136"/>
      <c r="I3" s="1"/>
    </row>
    <row r="4" spans="1:9" x14ac:dyDescent="0.25">
      <c r="A4" s="1"/>
      <c r="B4" s="128" t="s">
        <v>52</v>
      </c>
      <c r="C4" s="129"/>
      <c r="D4" s="129"/>
      <c r="E4" s="129"/>
      <c r="F4" s="129"/>
      <c r="G4" s="129"/>
      <c r="H4" s="130"/>
      <c r="I4" s="1"/>
    </row>
    <row r="5" spans="1:9" x14ac:dyDescent="0.25">
      <c r="A5" s="1"/>
      <c r="B5" s="138" t="s">
        <v>41</v>
      </c>
      <c r="C5" s="139"/>
      <c r="D5" s="139"/>
      <c r="E5" s="139"/>
      <c r="F5" s="140"/>
      <c r="G5" s="75">
        <v>29309793.252214681</v>
      </c>
      <c r="H5" s="14" t="s">
        <v>3</v>
      </c>
      <c r="I5" s="1"/>
    </row>
    <row r="6" spans="1:9" x14ac:dyDescent="0.25">
      <c r="A6" s="1"/>
      <c r="B6" s="131" t="s">
        <v>120</v>
      </c>
      <c r="C6" s="132"/>
      <c r="D6" s="132"/>
      <c r="E6" s="132"/>
      <c r="F6" s="133"/>
      <c r="G6" s="76">
        <v>0</v>
      </c>
      <c r="H6" s="14" t="s">
        <v>3</v>
      </c>
      <c r="I6" s="1"/>
    </row>
    <row r="7" spans="1:9" x14ac:dyDescent="0.25">
      <c r="A7" s="1"/>
      <c r="B7" s="138" t="s">
        <v>42</v>
      </c>
      <c r="C7" s="139"/>
      <c r="D7" s="139"/>
      <c r="E7" s="139"/>
      <c r="F7" s="140"/>
      <c r="G7" s="75">
        <f>SUM(G5:G6)*'Fane 15. Nøgletal'!C31</f>
        <v>586195.86504429369</v>
      </c>
      <c r="H7" s="14" t="s">
        <v>3</v>
      </c>
      <c r="I7" s="1"/>
    </row>
    <row r="8" spans="1:9" x14ac:dyDescent="0.25">
      <c r="A8" s="1"/>
      <c r="B8" s="32"/>
      <c r="C8" s="27"/>
      <c r="D8" s="27"/>
      <c r="E8" s="27"/>
      <c r="F8" s="27"/>
      <c r="G8" s="77"/>
      <c r="H8" s="19"/>
      <c r="I8" s="1"/>
    </row>
    <row r="9" spans="1:9" x14ac:dyDescent="0.25">
      <c r="A9" s="1"/>
      <c r="B9" s="1"/>
      <c r="C9" s="1"/>
      <c r="D9" s="1"/>
      <c r="E9" s="1"/>
      <c r="F9" s="1"/>
      <c r="G9" s="78"/>
      <c r="H9" s="1"/>
      <c r="I9" s="1"/>
    </row>
    <row r="10" spans="1:9" x14ac:dyDescent="0.25">
      <c r="A10" s="1"/>
      <c r="B10" s="128" t="s">
        <v>53</v>
      </c>
      <c r="C10" s="129"/>
      <c r="D10" s="129"/>
      <c r="E10" s="129"/>
      <c r="F10" s="129"/>
      <c r="G10" s="137"/>
      <c r="H10" s="130"/>
      <c r="I10" s="1"/>
    </row>
    <row r="11" spans="1:9" x14ac:dyDescent="0.25">
      <c r="A11" s="1"/>
      <c r="B11" s="138" t="s">
        <v>43</v>
      </c>
      <c r="C11" s="139"/>
      <c r="D11" s="139"/>
      <c r="E11" s="139"/>
      <c r="F11" s="140"/>
      <c r="G11" s="75">
        <f>(G5-G7)*(1+'Fane 15. Nøgletal'!C10)</f>
        <v>29226260.341445874</v>
      </c>
      <c r="H11" s="14" t="s">
        <v>3</v>
      </c>
      <c r="I11" s="1"/>
    </row>
    <row r="12" spans="1:9" ht="15" customHeight="1" x14ac:dyDescent="0.25">
      <c r="A12" s="1"/>
      <c r="B12" s="138" t="s">
        <v>121</v>
      </c>
      <c r="C12" s="139"/>
      <c r="D12" s="139"/>
      <c r="E12" s="139"/>
      <c r="F12" s="140"/>
      <c r="G12" s="76">
        <v>0</v>
      </c>
      <c r="H12" s="14" t="s">
        <v>3</v>
      </c>
      <c r="I12" s="1"/>
    </row>
    <row r="13" spans="1:9" x14ac:dyDescent="0.25">
      <c r="A13" s="1"/>
      <c r="B13" s="131" t="s">
        <v>118</v>
      </c>
      <c r="C13" s="132"/>
      <c r="D13" s="132"/>
      <c r="E13" s="132"/>
      <c r="F13" s="133"/>
      <c r="G13" s="76">
        <v>0</v>
      </c>
      <c r="H13" s="14" t="s">
        <v>3</v>
      </c>
      <c r="I13" s="1"/>
    </row>
    <row r="14" spans="1:9" x14ac:dyDescent="0.25">
      <c r="A14" s="1"/>
      <c r="B14" s="141" t="s">
        <v>44</v>
      </c>
      <c r="C14" s="142"/>
      <c r="D14" s="142"/>
      <c r="E14" s="142"/>
      <c r="F14" s="143"/>
      <c r="G14" s="76">
        <v>0</v>
      </c>
      <c r="H14" s="14" t="s">
        <v>3</v>
      </c>
      <c r="I14" s="1"/>
    </row>
    <row r="15" spans="1:9" x14ac:dyDescent="0.25">
      <c r="A15" s="1"/>
      <c r="B15" s="138" t="s">
        <v>45</v>
      </c>
      <c r="C15" s="139"/>
      <c r="D15" s="139"/>
      <c r="E15" s="139"/>
      <c r="F15" s="140"/>
      <c r="G15" s="75">
        <f>SUM(G11:G14)*'Fane 15. Nøgletal'!C31</f>
        <v>584525.20682891749</v>
      </c>
      <c r="H15" s="14" t="s">
        <v>3</v>
      </c>
      <c r="I15" s="1"/>
    </row>
    <row r="16" spans="1:9" x14ac:dyDescent="0.25">
      <c r="A16" s="1"/>
      <c r="B16" s="32"/>
      <c r="C16" s="27"/>
      <c r="D16" s="27"/>
      <c r="E16" s="27"/>
      <c r="F16" s="27"/>
      <c r="G16" s="77"/>
      <c r="H16" s="19"/>
      <c r="I16" s="1"/>
    </row>
    <row r="17" spans="1:9" x14ac:dyDescent="0.25">
      <c r="A17" s="1"/>
      <c r="B17" s="1"/>
      <c r="C17" s="1"/>
      <c r="D17" s="1"/>
      <c r="E17" s="1"/>
      <c r="F17" s="1"/>
      <c r="G17" s="78"/>
      <c r="H17" s="1"/>
      <c r="I17" s="1"/>
    </row>
    <row r="18" spans="1:9" x14ac:dyDescent="0.25">
      <c r="A18" s="1"/>
      <c r="B18" s="128" t="s">
        <v>54</v>
      </c>
      <c r="C18" s="129"/>
      <c r="D18" s="129"/>
      <c r="E18" s="129"/>
      <c r="F18" s="129"/>
      <c r="G18" s="137"/>
      <c r="H18" s="130"/>
      <c r="I18" s="1"/>
    </row>
    <row r="19" spans="1:9" x14ac:dyDescent="0.25">
      <c r="A19" s="1"/>
      <c r="B19" s="138" t="s">
        <v>46</v>
      </c>
      <c r="C19" s="139"/>
      <c r="D19" s="139"/>
      <c r="E19" s="139"/>
      <c r="F19" s="140"/>
      <c r="G19" s="75">
        <f>(SUM(G11:G12,G14)-(G15))*(1+'Fane 15. Nøgletal'!C10)</f>
        <v>29142965.499472756</v>
      </c>
      <c r="H19" s="14" t="s">
        <v>3</v>
      </c>
      <c r="I19" s="1"/>
    </row>
    <row r="20" spans="1:9" x14ac:dyDescent="0.25">
      <c r="A20" s="1"/>
      <c r="B20" s="141" t="s">
        <v>47</v>
      </c>
      <c r="C20" s="142"/>
      <c r="D20" s="142"/>
      <c r="E20" s="142"/>
      <c r="F20" s="143"/>
      <c r="G20" s="76">
        <v>0</v>
      </c>
      <c r="H20" s="14" t="s">
        <v>3</v>
      </c>
      <c r="I20" s="1"/>
    </row>
    <row r="21" spans="1:9" x14ac:dyDescent="0.25">
      <c r="A21" s="1"/>
      <c r="B21" s="138" t="s">
        <v>48</v>
      </c>
      <c r="C21" s="139"/>
      <c r="D21" s="139"/>
      <c r="E21" s="139"/>
      <c r="F21" s="140"/>
      <c r="G21" s="75">
        <f>SUM(G19:G20)*'Fane 15. Nøgletal'!C31</f>
        <v>582859.30998945516</v>
      </c>
      <c r="H21" s="14" t="s">
        <v>3</v>
      </c>
      <c r="I21" s="1"/>
    </row>
    <row r="22" spans="1:9" x14ac:dyDescent="0.25">
      <c r="A22" s="1"/>
      <c r="B22" s="32"/>
      <c r="C22" s="27"/>
      <c r="D22" s="27"/>
      <c r="E22" s="27"/>
      <c r="F22" s="27"/>
      <c r="G22" s="77"/>
      <c r="H22" s="19"/>
      <c r="I22" s="1"/>
    </row>
    <row r="23" spans="1:9" x14ac:dyDescent="0.25">
      <c r="A23" s="1"/>
      <c r="B23" s="1"/>
      <c r="C23" s="1"/>
      <c r="D23" s="1"/>
      <c r="E23" s="1"/>
      <c r="F23" s="1"/>
      <c r="G23" s="78"/>
      <c r="H23" s="1"/>
      <c r="I23" s="1"/>
    </row>
    <row r="24" spans="1:9" x14ac:dyDescent="0.25">
      <c r="A24" s="1"/>
      <c r="B24" s="128" t="s">
        <v>55</v>
      </c>
      <c r="C24" s="129"/>
      <c r="D24" s="129"/>
      <c r="E24" s="129"/>
      <c r="F24" s="129"/>
      <c r="G24" s="137"/>
      <c r="H24" s="130"/>
      <c r="I24" s="1"/>
    </row>
    <row r="25" spans="1:9" x14ac:dyDescent="0.25">
      <c r="A25" s="1"/>
      <c r="B25" s="138" t="s">
        <v>49</v>
      </c>
      <c r="C25" s="139"/>
      <c r="D25" s="139"/>
      <c r="E25" s="139"/>
      <c r="F25" s="140"/>
      <c r="G25" s="75">
        <f>(G19+G20-G21)*(1+'Fane 15. Nøgletal'!C12)</f>
        <v>29122740.281416122</v>
      </c>
      <c r="H25" s="14" t="s">
        <v>3</v>
      </c>
      <c r="I25" s="1"/>
    </row>
    <row r="26" spans="1:9" x14ac:dyDescent="0.25">
      <c r="A26" s="1"/>
      <c r="B26" s="141" t="s">
        <v>50</v>
      </c>
      <c r="C26" s="142"/>
      <c r="D26" s="142"/>
      <c r="E26" s="142"/>
      <c r="F26" s="143"/>
      <c r="G26" s="76">
        <v>0</v>
      </c>
      <c r="H26" s="14" t="s">
        <v>3</v>
      </c>
      <c r="I26" s="1"/>
    </row>
    <row r="27" spans="1:9" x14ac:dyDescent="0.25">
      <c r="A27" s="1"/>
      <c r="B27" s="138" t="s">
        <v>51</v>
      </c>
      <c r="C27" s="139"/>
      <c r="D27" s="139"/>
      <c r="E27" s="139"/>
      <c r="F27" s="140"/>
      <c r="G27" s="75">
        <f>(G25+G26)*'Fane 15. Nøgletal'!C31</f>
        <v>582454.80562832241</v>
      </c>
      <c r="H27" s="14" t="s">
        <v>3</v>
      </c>
      <c r="I27" s="1"/>
    </row>
    <row r="28" spans="1:9" x14ac:dyDescent="0.25">
      <c r="A28" s="1"/>
      <c r="B28" s="32"/>
      <c r="C28" s="27"/>
      <c r="D28" s="27"/>
      <c r="E28" s="27"/>
      <c r="F28" s="27"/>
      <c r="G28" s="77"/>
      <c r="H28" s="19"/>
      <c r="I28" s="1"/>
    </row>
    <row r="29" spans="1:9" x14ac:dyDescent="0.25">
      <c r="A29" s="1"/>
      <c r="B29" s="1"/>
      <c r="C29" s="1"/>
      <c r="D29" s="1"/>
      <c r="E29" s="1"/>
      <c r="F29" s="1"/>
      <c r="G29" s="78"/>
      <c r="H29" s="1"/>
      <c r="I29" s="1"/>
    </row>
    <row r="30" spans="1:9" x14ac:dyDescent="0.25">
      <c r="A30" s="1"/>
      <c r="B30" s="128" t="s">
        <v>58</v>
      </c>
      <c r="C30" s="129"/>
      <c r="D30" s="129"/>
      <c r="E30" s="129"/>
      <c r="F30" s="129"/>
      <c r="G30" s="137"/>
      <c r="H30" s="130"/>
      <c r="I30" s="1"/>
    </row>
    <row r="31" spans="1:9" x14ac:dyDescent="0.25">
      <c r="A31" s="1"/>
      <c r="B31" s="138" t="s">
        <v>59</v>
      </c>
      <c r="C31" s="139"/>
      <c r="D31" s="139"/>
      <c r="E31" s="139"/>
      <c r="F31" s="140"/>
      <c r="G31" s="75">
        <f>(G25+G26-G27)*(1+'Fane 15. Nøgletal'!C12)</f>
        <v>29102529.099660821</v>
      </c>
      <c r="H31" s="14" t="s">
        <v>3</v>
      </c>
      <c r="I31" s="1"/>
    </row>
    <row r="32" spans="1:9" x14ac:dyDescent="0.25">
      <c r="A32" s="1"/>
      <c r="B32" s="138" t="s">
        <v>137</v>
      </c>
      <c r="C32" s="139"/>
      <c r="D32" s="139"/>
      <c r="E32" s="139"/>
      <c r="F32" s="140"/>
      <c r="G32" s="75">
        <v>661786.83222119999</v>
      </c>
      <c r="H32" s="14" t="s">
        <v>3</v>
      </c>
      <c r="I32" s="1"/>
    </row>
    <row r="33" spans="1:9" x14ac:dyDescent="0.25">
      <c r="A33" s="1"/>
      <c r="B33" s="138" t="s">
        <v>60</v>
      </c>
      <c r="C33" s="139"/>
      <c r="D33" s="139"/>
      <c r="E33" s="139"/>
      <c r="F33" s="140"/>
      <c r="G33" s="75">
        <f>(G31+G32)*'Fane 15. Nøgletal'!C31</f>
        <v>595286.31863764045</v>
      </c>
      <c r="H33" s="14" t="s">
        <v>3</v>
      </c>
      <c r="I33" s="1"/>
    </row>
    <row r="34" spans="1:9" x14ac:dyDescent="0.25">
      <c r="A34" s="1"/>
      <c r="B34" s="32"/>
      <c r="C34" s="27"/>
      <c r="D34" s="27"/>
      <c r="E34" s="27"/>
      <c r="F34" s="27"/>
      <c r="G34" s="77"/>
      <c r="H34" s="19"/>
      <c r="I34" s="1"/>
    </row>
    <row r="35" spans="1:9" x14ac:dyDescent="0.25">
      <c r="A35" s="1"/>
      <c r="B35" s="1"/>
      <c r="C35" s="1"/>
      <c r="D35" s="1"/>
      <c r="E35" s="1"/>
      <c r="F35" s="1"/>
      <c r="G35" s="78"/>
      <c r="H35" s="1"/>
      <c r="I35" s="1"/>
    </row>
    <row r="36" spans="1:9" x14ac:dyDescent="0.25">
      <c r="A36" s="1"/>
      <c r="B36" s="128" t="s">
        <v>160</v>
      </c>
      <c r="C36" s="129"/>
      <c r="D36" s="129"/>
      <c r="E36" s="129"/>
      <c r="F36" s="129"/>
      <c r="G36" s="137"/>
      <c r="H36" s="130"/>
      <c r="I36" s="1"/>
    </row>
    <row r="37" spans="1:9" x14ac:dyDescent="0.25">
      <c r="A37" s="1"/>
      <c r="B37" s="138" t="s">
        <v>79</v>
      </c>
      <c r="C37" s="139"/>
      <c r="D37" s="139"/>
      <c r="E37" s="139"/>
      <c r="F37" s="140"/>
      <c r="G37" s="75">
        <f>(G31+G32-G33)*(1+'Fane 15. Nøgletal'!C14)</f>
        <v>29265287.410968091</v>
      </c>
      <c r="H37" s="14" t="s">
        <v>3</v>
      </c>
      <c r="I37" s="1"/>
    </row>
    <row r="38" spans="1:9" x14ac:dyDescent="0.25">
      <c r="A38" s="1"/>
      <c r="B38" s="138" t="s">
        <v>164</v>
      </c>
      <c r="C38" s="139"/>
      <c r="D38" s="139"/>
      <c r="E38" s="139"/>
      <c r="F38" s="140"/>
      <c r="G38" s="75">
        <v>51837.441002330008</v>
      </c>
      <c r="H38" s="14" t="s">
        <v>3</v>
      </c>
      <c r="I38" s="1"/>
    </row>
    <row r="39" spans="1:9" x14ac:dyDescent="0.25">
      <c r="A39" s="1"/>
      <c r="B39" s="138" t="s">
        <v>162</v>
      </c>
      <c r="C39" s="139"/>
      <c r="D39" s="139"/>
      <c r="E39" s="139"/>
      <c r="F39" s="140"/>
      <c r="G39" s="75">
        <f>(G37+G38)*'Fane 15. Nøgletal'!C31</f>
        <v>586342.49703940842</v>
      </c>
      <c r="H39" s="14" t="s">
        <v>3</v>
      </c>
      <c r="I39" s="1"/>
    </row>
    <row r="40" spans="1:9" x14ac:dyDescent="0.25">
      <c r="A40" s="1"/>
      <c r="B40" s="32"/>
      <c r="C40" s="27"/>
      <c r="D40" s="27"/>
      <c r="E40" s="27"/>
      <c r="F40" s="27"/>
      <c r="G40" s="77"/>
      <c r="H40" s="19"/>
      <c r="I40" s="1"/>
    </row>
    <row r="41" spans="1:9" x14ac:dyDescent="0.25">
      <c r="A41" s="1"/>
      <c r="B41" s="1"/>
      <c r="C41" s="1"/>
      <c r="D41" s="1"/>
      <c r="E41" s="1"/>
      <c r="F41" s="1"/>
      <c r="G41" s="78"/>
      <c r="H41" s="1"/>
      <c r="I41" s="1"/>
    </row>
    <row r="42" spans="1:9" x14ac:dyDescent="0.25">
      <c r="A42" s="1"/>
      <c r="B42" s="128" t="s">
        <v>161</v>
      </c>
      <c r="C42" s="129"/>
      <c r="D42" s="129"/>
      <c r="E42" s="129"/>
      <c r="F42" s="129"/>
      <c r="G42" s="137"/>
      <c r="H42" s="130"/>
      <c r="I42" s="1"/>
    </row>
    <row r="43" spans="1:9" x14ac:dyDescent="0.25">
      <c r="A43" s="1"/>
      <c r="B43" s="138" t="s">
        <v>230</v>
      </c>
      <c r="C43" s="139"/>
      <c r="D43" s="139"/>
      <c r="E43" s="139"/>
      <c r="F43" s="140"/>
      <c r="G43" s="75">
        <f>(G37+G38-G39)*(1+'Fane 15. Nøgletal'!C14)</f>
        <v>28825593.936702289</v>
      </c>
      <c r="H43" s="14" t="s">
        <v>3</v>
      </c>
      <c r="I43" s="1"/>
    </row>
    <row r="44" spans="1:9" x14ac:dyDescent="0.25">
      <c r="A44" s="1"/>
      <c r="B44" s="144" t="s">
        <v>232</v>
      </c>
      <c r="C44" s="145"/>
      <c r="D44" s="145"/>
      <c r="E44" s="145"/>
      <c r="F44" s="146"/>
      <c r="G44" s="79">
        <f>('Fane 2.1. Økonomisk ramme 2023'!C10+'Fane 2.1. Økonomisk ramme 2023'!C12+'Fane 2.1. Økonomisk ramme 2023'!C14)*(1+'Fane 15. Nøgletal'!C15)</f>
        <v>276235.41791520006</v>
      </c>
      <c r="H44" s="14" t="s">
        <v>3</v>
      </c>
      <c r="I44" s="1"/>
    </row>
    <row r="45" spans="1:9" x14ac:dyDescent="0.25">
      <c r="A45" s="1"/>
      <c r="B45" s="138" t="s">
        <v>163</v>
      </c>
      <c r="C45" s="139"/>
      <c r="D45" s="139"/>
      <c r="E45" s="139"/>
      <c r="F45" s="140"/>
      <c r="G45" s="75">
        <f>SUM(G43:G44)*'Fane 15. Nøgletal'!C31</f>
        <v>582036.58709234977</v>
      </c>
      <c r="H45" s="14" t="s">
        <v>3</v>
      </c>
      <c r="I45" s="1"/>
    </row>
    <row r="46" spans="1:9" x14ac:dyDescent="0.25">
      <c r="A46" s="1"/>
      <c r="B46" s="32"/>
      <c r="C46" s="27"/>
      <c r="D46" s="27"/>
      <c r="E46" s="27"/>
      <c r="F46" s="27"/>
      <c r="G46" s="77"/>
      <c r="H46" s="19"/>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28" t="s">
        <v>243</v>
      </c>
      <c r="C51" s="129"/>
      <c r="D51" s="129"/>
      <c r="E51" s="129"/>
      <c r="F51" s="129"/>
      <c r="G51" s="137"/>
      <c r="H51" s="130"/>
      <c r="I51" s="1"/>
    </row>
    <row r="52" spans="1:9" x14ac:dyDescent="0.25">
      <c r="A52" s="1"/>
      <c r="B52" s="138" t="s">
        <v>229</v>
      </c>
      <c r="C52" s="139"/>
      <c r="D52" s="139"/>
      <c r="E52" s="139"/>
      <c r="F52" s="140"/>
      <c r="G52" s="75">
        <f>(G43+G44-G45)*(1+'Fane 15. Nøgletal'!C15)</f>
        <v>29535097.390049033</v>
      </c>
      <c r="H52" s="14" t="s">
        <v>3</v>
      </c>
      <c r="I52" s="1"/>
    </row>
    <row r="53" spans="1:9" x14ac:dyDescent="0.25">
      <c r="A53" s="1"/>
      <c r="B53" s="138" t="s">
        <v>138</v>
      </c>
      <c r="C53" s="139"/>
      <c r="D53" s="139"/>
      <c r="E53" s="139"/>
      <c r="F53" s="140"/>
      <c r="G53" s="75">
        <f>(G52)*'Fane 15. Nøgletal'!C31</f>
        <v>590701.94780098065</v>
      </c>
      <c r="H53" s="14" t="s">
        <v>3</v>
      </c>
      <c r="I53" s="1"/>
    </row>
    <row r="54" spans="1:9" x14ac:dyDescent="0.25">
      <c r="A54" s="1"/>
      <c r="B54" s="32"/>
      <c r="C54" s="27"/>
      <c r="D54" s="27"/>
      <c r="E54" s="27"/>
      <c r="F54" s="27"/>
      <c r="G54" s="77"/>
      <c r="H54" s="19"/>
      <c r="I54" s="1"/>
    </row>
    <row r="55" spans="1:9" x14ac:dyDescent="0.25">
      <c r="A55" s="1"/>
      <c r="B55" s="1"/>
      <c r="C55" s="1"/>
      <c r="D55" s="1"/>
      <c r="E55" s="1"/>
      <c r="F55" s="1"/>
      <c r="G55" s="78"/>
      <c r="H55" s="1"/>
      <c r="I55" s="1"/>
    </row>
    <row r="56" spans="1:9" x14ac:dyDescent="0.25">
      <c r="A56" s="1"/>
      <c r="B56" s="128" t="s">
        <v>150</v>
      </c>
      <c r="C56" s="129"/>
      <c r="D56" s="129"/>
      <c r="E56" s="129"/>
      <c r="F56" s="129"/>
      <c r="G56" s="137"/>
      <c r="H56" s="130"/>
      <c r="I56" s="1"/>
    </row>
    <row r="57" spans="1:9" x14ac:dyDescent="0.25">
      <c r="A57" s="1"/>
      <c r="B57" s="91" t="s">
        <v>151</v>
      </c>
      <c r="C57" s="92"/>
      <c r="D57" s="92"/>
      <c r="E57" s="92"/>
      <c r="F57" s="93"/>
      <c r="G57" s="75">
        <f>(G52-G53)*(1+'Fane 15. Nøgletal'!C15)</f>
        <v>29974815.919992086</v>
      </c>
      <c r="H57" s="14" t="s">
        <v>3</v>
      </c>
      <c r="I57" s="1"/>
    </row>
    <row r="58" spans="1:9" x14ac:dyDescent="0.25">
      <c r="A58" s="1"/>
      <c r="B58" s="91" t="s">
        <v>152</v>
      </c>
      <c r="C58" s="92"/>
      <c r="D58" s="92"/>
      <c r="E58" s="92"/>
      <c r="F58" s="93"/>
      <c r="G58" s="75">
        <f>(G57)*'Fane 15. Nøgletal'!C31</f>
        <v>599496.31839984178</v>
      </c>
      <c r="H58" s="14" t="s">
        <v>3</v>
      </c>
      <c r="I58" s="1"/>
    </row>
    <row r="59" spans="1:9" x14ac:dyDescent="0.25">
      <c r="A59" s="1"/>
      <c r="B59" s="32"/>
      <c r="C59" s="27"/>
      <c r="D59" s="27"/>
      <c r="E59" s="27"/>
      <c r="F59" s="27"/>
      <c r="G59" s="77"/>
      <c r="H59" s="19"/>
      <c r="I59" s="1"/>
    </row>
    <row r="60" spans="1:9" x14ac:dyDescent="0.25">
      <c r="A60" s="1"/>
      <c r="B60" s="1"/>
      <c r="C60" s="1"/>
      <c r="D60" s="1"/>
      <c r="E60" s="1"/>
      <c r="F60" s="1"/>
      <c r="G60" s="78"/>
      <c r="H60" s="1"/>
      <c r="I60" s="1"/>
    </row>
    <row r="61" spans="1:9" x14ac:dyDescent="0.25">
      <c r="A61" s="1"/>
      <c r="B61" s="128" t="s">
        <v>194</v>
      </c>
      <c r="C61" s="129"/>
      <c r="D61" s="129"/>
      <c r="E61" s="129"/>
      <c r="F61" s="129"/>
      <c r="G61" s="137"/>
      <c r="H61" s="130"/>
      <c r="I61" s="1"/>
    </row>
    <row r="62" spans="1:9" x14ac:dyDescent="0.25">
      <c r="A62" s="1"/>
      <c r="B62" s="91" t="s">
        <v>195</v>
      </c>
      <c r="C62" s="92"/>
      <c r="D62" s="92"/>
      <c r="E62" s="92"/>
      <c r="F62" s="93"/>
      <c r="G62" s="75">
        <f>(G57-G58)*(1+'Fane 15. Nøgletal'!C15)</f>
        <v>30421080.979408927</v>
      </c>
      <c r="H62" s="14" t="s">
        <v>3</v>
      </c>
      <c r="I62" s="1"/>
    </row>
    <row r="63" spans="1:9" x14ac:dyDescent="0.25">
      <c r="A63" s="1"/>
      <c r="B63" s="91" t="s">
        <v>196</v>
      </c>
      <c r="C63" s="92"/>
      <c r="D63" s="92"/>
      <c r="E63" s="92"/>
      <c r="F63" s="93"/>
      <c r="G63" s="75">
        <f>(G62)*'Fane 15. Nøgletal'!C31</f>
        <v>608421.61958817858</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9wqOH6UKZe2p32fuGLBqWNV9x0HatkXC4EGXJ5F4aaXN5BbRKaQXhyZNIm89lkp0RfxoFIKFmGGGoQHU8Y1kbQ==" saltValue="r0RLSvbiS/7OehUyNEo8R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7" t="s">
        <v>110</v>
      </c>
      <c r="C1" s="147"/>
      <c r="D1" s="147"/>
      <c r="E1" s="147"/>
      <c r="F1" s="147"/>
      <c r="G1" s="147"/>
      <c r="H1" s="147"/>
      <c r="I1" s="1"/>
    </row>
    <row r="2" spans="1:9" ht="15" customHeight="1" x14ac:dyDescent="0.25">
      <c r="A2" s="1"/>
      <c r="B2" s="147"/>
      <c r="C2" s="147"/>
      <c r="D2" s="147"/>
      <c r="E2" s="147"/>
      <c r="F2" s="147"/>
      <c r="G2" s="147"/>
      <c r="H2" s="147"/>
      <c r="I2" s="1"/>
    </row>
    <row r="3" spans="1:9" ht="15" customHeight="1" x14ac:dyDescent="0.25">
      <c r="A3" s="1"/>
      <c r="B3" s="148"/>
      <c r="C3" s="148"/>
      <c r="D3" s="148"/>
      <c r="E3" s="148"/>
      <c r="F3" s="148"/>
      <c r="G3" s="148"/>
      <c r="H3" s="148"/>
      <c r="I3" s="1"/>
    </row>
    <row r="4" spans="1:9" x14ac:dyDescent="0.25">
      <c r="A4" s="1"/>
      <c r="B4" s="128" t="s">
        <v>56</v>
      </c>
      <c r="C4" s="129"/>
      <c r="D4" s="129"/>
      <c r="E4" s="129"/>
      <c r="F4" s="129"/>
      <c r="G4" s="129"/>
      <c r="H4" s="130"/>
      <c r="I4" s="1"/>
    </row>
    <row r="5" spans="1:9" x14ac:dyDescent="0.25">
      <c r="A5" s="1"/>
      <c r="B5" s="138" t="s">
        <v>61</v>
      </c>
      <c r="C5" s="139"/>
      <c r="D5" s="139"/>
      <c r="E5" s="139"/>
      <c r="F5" s="140"/>
      <c r="G5" s="75">
        <v>42856518.270092063</v>
      </c>
      <c r="H5" s="14" t="s">
        <v>3</v>
      </c>
      <c r="I5" s="1"/>
    </row>
    <row r="6" spans="1:9" x14ac:dyDescent="0.25">
      <c r="A6" s="1"/>
      <c r="B6" s="138" t="s">
        <v>57</v>
      </c>
      <c r="C6" s="139"/>
      <c r="D6" s="139"/>
      <c r="E6" s="139"/>
      <c r="F6" s="140"/>
      <c r="G6" s="75">
        <f>G5*'Fane 15. Nøgletal'!C20</f>
        <v>389994.31625783781</v>
      </c>
      <c r="H6" s="14" t="s">
        <v>3</v>
      </c>
      <c r="I6" s="1"/>
    </row>
    <row r="7" spans="1:9" x14ac:dyDescent="0.25">
      <c r="A7" s="1"/>
      <c r="B7" s="32"/>
      <c r="C7" s="27"/>
      <c r="D7" s="27"/>
      <c r="E7" s="27"/>
      <c r="F7" s="27"/>
      <c r="G7" s="77"/>
      <c r="H7" s="19"/>
      <c r="I7" s="1"/>
    </row>
    <row r="8" spans="1:9" x14ac:dyDescent="0.25">
      <c r="A8" s="1"/>
      <c r="B8" s="1"/>
      <c r="C8" s="1"/>
      <c r="D8" s="1"/>
      <c r="E8" s="1"/>
      <c r="F8" s="1"/>
      <c r="G8" s="78"/>
      <c r="H8" s="1"/>
      <c r="I8" s="1"/>
    </row>
    <row r="9" spans="1:9" x14ac:dyDescent="0.25">
      <c r="A9" s="1"/>
      <c r="B9" s="128" t="s">
        <v>62</v>
      </c>
      <c r="C9" s="129"/>
      <c r="D9" s="129"/>
      <c r="E9" s="129"/>
      <c r="F9" s="129"/>
      <c r="G9" s="137"/>
      <c r="H9" s="130"/>
      <c r="I9" s="1"/>
    </row>
    <row r="10" spans="1:9" x14ac:dyDescent="0.25">
      <c r="A10" s="1"/>
      <c r="B10" s="138" t="s">
        <v>63</v>
      </c>
      <c r="C10" s="139"/>
      <c r="D10" s="139"/>
      <c r="E10" s="139"/>
      <c r="F10" s="140"/>
      <c r="G10" s="75">
        <f>(G5-G6)*(1+'Fane 15. Nøgletal'!C10)</f>
        <v>43209688.123026334</v>
      </c>
      <c r="H10" s="14" t="s">
        <v>3</v>
      </c>
      <c r="I10" s="1"/>
    </row>
    <row r="11" spans="1:9" x14ac:dyDescent="0.25">
      <c r="A11" s="1"/>
      <c r="B11" s="138" t="s">
        <v>122</v>
      </c>
      <c r="C11" s="139"/>
      <c r="D11" s="139"/>
      <c r="E11" s="139"/>
      <c r="F11" s="140"/>
      <c r="G11" s="75">
        <v>125019.07418273579</v>
      </c>
      <c r="H11" s="14" t="s">
        <v>3</v>
      </c>
      <c r="I11" s="1"/>
    </row>
    <row r="12" spans="1:9" x14ac:dyDescent="0.25">
      <c r="A12" s="1"/>
      <c r="B12" s="141" t="s">
        <v>64</v>
      </c>
      <c r="C12" s="142"/>
      <c r="D12" s="142"/>
      <c r="E12" s="142"/>
      <c r="F12" s="143"/>
      <c r="G12" s="76">
        <v>0</v>
      </c>
      <c r="H12" s="14" t="s">
        <v>3</v>
      </c>
      <c r="I12" s="1"/>
    </row>
    <row r="13" spans="1:9" x14ac:dyDescent="0.25">
      <c r="A13" s="1"/>
      <c r="B13" s="138" t="s">
        <v>65</v>
      </c>
      <c r="C13" s="139"/>
      <c r="D13" s="139"/>
      <c r="E13" s="139"/>
      <c r="F13" s="140"/>
      <c r="G13" s="75">
        <f>SUM(G10:G12)*'Fane 15. Nøgletal'!C21</f>
        <v>767024.31739060057</v>
      </c>
      <c r="H13" s="14" t="s">
        <v>3</v>
      </c>
      <c r="I13" s="1"/>
    </row>
    <row r="14" spans="1:9" x14ac:dyDescent="0.25">
      <c r="A14" s="1"/>
      <c r="B14" s="32"/>
      <c r="C14" s="27"/>
      <c r="D14" s="27"/>
      <c r="E14" s="27"/>
      <c r="F14" s="27"/>
      <c r="G14" s="77"/>
      <c r="H14" s="19"/>
      <c r="I14" s="1"/>
    </row>
    <row r="15" spans="1:9" x14ac:dyDescent="0.25">
      <c r="A15" s="1"/>
      <c r="B15" s="1"/>
      <c r="C15" s="1"/>
      <c r="D15" s="1"/>
      <c r="E15" s="1"/>
      <c r="F15" s="1"/>
      <c r="G15" s="78"/>
      <c r="H15" s="1"/>
      <c r="I15" s="1"/>
    </row>
    <row r="16" spans="1:9" x14ac:dyDescent="0.25">
      <c r="A16" s="1"/>
      <c r="B16" s="128" t="s">
        <v>66</v>
      </c>
      <c r="C16" s="129"/>
      <c r="D16" s="129"/>
      <c r="E16" s="129"/>
      <c r="F16" s="129"/>
      <c r="G16" s="137"/>
      <c r="H16" s="130"/>
      <c r="I16" s="1"/>
    </row>
    <row r="17" spans="1:9" x14ac:dyDescent="0.25">
      <c r="A17" s="1"/>
      <c r="B17" s="138" t="s">
        <v>67</v>
      </c>
      <c r="C17" s="139"/>
      <c r="D17" s="139"/>
      <c r="E17" s="139"/>
      <c r="F17" s="140"/>
      <c r="G17" s="75">
        <f>(SUM(G10:G12)-G13)*(1+'Fane 15. Nøgletal'!C10)</f>
        <v>43312617.330215298</v>
      </c>
      <c r="H17" s="14" t="s">
        <v>3</v>
      </c>
      <c r="I17" s="1"/>
    </row>
    <row r="18" spans="1:9" x14ac:dyDescent="0.25">
      <c r="A18" s="1"/>
      <c r="B18" s="141" t="s">
        <v>68</v>
      </c>
      <c r="C18" s="142"/>
      <c r="D18" s="142"/>
      <c r="E18" s="142"/>
      <c r="F18" s="143"/>
      <c r="G18" s="75">
        <v>161508.66099784998</v>
      </c>
      <c r="H18" s="14" t="s">
        <v>3</v>
      </c>
      <c r="I18" s="1"/>
    </row>
    <row r="19" spans="1:9" x14ac:dyDescent="0.25">
      <c r="A19" s="1"/>
      <c r="B19" s="138" t="s">
        <v>69</v>
      </c>
      <c r="C19" s="139"/>
      <c r="D19" s="139"/>
      <c r="E19" s="139"/>
      <c r="F19" s="140"/>
      <c r="G19" s="75">
        <f>G17*'Fane 15. Nøgletal'!C21+G18*'Fane 15. Nøgletal'!C22</f>
        <v>768038.45209549204</v>
      </c>
      <c r="H19" s="14" t="s">
        <v>3</v>
      </c>
      <c r="I19" s="1"/>
    </row>
    <row r="20" spans="1:9" x14ac:dyDescent="0.25">
      <c r="A20" s="1"/>
      <c r="B20" s="32"/>
      <c r="C20" s="27"/>
      <c r="D20" s="27"/>
      <c r="E20" s="27"/>
      <c r="F20" s="27"/>
      <c r="G20" s="77"/>
      <c r="H20" s="19"/>
      <c r="I20" s="1"/>
    </row>
    <row r="21" spans="1:9" x14ac:dyDescent="0.25">
      <c r="A21" s="1"/>
      <c r="B21" s="1"/>
      <c r="C21" s="1"/>
      <c r="D21" s="1"/>
      <c r="E21" s="1"/>
      <c r="F21" s="1"/>
      <c r="G21" s="78"/>
      <c r="H21" s="1"/>
      <c r="I21" s="1"/>
    </row>
    <row r="22" spans="1:9" x14ac:dyDescent="0.25">
      <c r="A22" s="1"/>
      <c r="B22" s="128" t="s">
        <v>70</v>
      </c>
      <c r="C22" s="129"/>
      <c r="D22" s="129"/>
      <c r="E22" s="129"/>
      <c r="F22" s="129"/>
      <c r="G22" s="137"/>
      <c r="H22" s="130"/>
      <c r="I22" s="1"/>
    </row>
    <row r="23" spans="1:9" x14ac:dyDescent="0.25">
      <c r="A23" s="1"/>
      <c r="B23" s="138" t="s">
        <v>71</v>
      </c>
      <c r="C23" s="139"/>
      <c r="D23" s="139"/>
      <c r="E23" s="139"/>
      <c r="F23" s="140"/>
      <c r="G23" s="75">
        <f>(G17+G18-G19)*(1+'Fane 15. Nøgletal'!C12)</f>
        <v>43547397.463638276</v>
      </c>
      <c r="H23" s="14" t="s">
        <v>3</v>
      </c>
      <c r="I23" s="1"/>
    </row>
    <row r="24" spans="1:9" x14ac:dyDescent="0.25">
      <c r="A24" s="1"/>
      <c r="B24" s="141" t="s">
        <v>72</v>
      </c>
      <c r="C24" s="142"/>
      <c r="D24" s="142"/>
      <c r="E24" s="142"/>
      <c r="F24" s="143"/>
      <c r="G24" s="75">
        <v>1132097.6622704363</v>
      </c>
      <c r="H24" s="14" t="s">
        <v>3</v>
      </c>
      <c r="I24" s="1"/>
    </row>
    <row r="25" spans="1:9" x14ac:dyDescent="0.25">
      <c r="A25" s="1"/>
      <c r="B25" s="138" t="s">
        <v>73</v>
      </c>
      <c r="C25" s="139"/>
      <c r="D25" s="139"/>
      <c r="E25" s="139"/>
      <c r="F25" s="140"/>
      <c r="G25" s="75">
        <f>(G23+G24)*'Fane 15. Nøgletal'!C23</f>
        <v>1268897.6615758075</v>
      </c>
      <c r="H25" s="14" t="s">
        <v>3</v>
      </c>
      <c r="I25" s="1"/>
    </row>
    <row r="26" spans="1:9" x14ac:dyDescent="0.25">
      <c r="A26" s="1"/>
      <c r="B26" s="32"/>
      <c r="C26" s="27"/>
      <c r="D26" s="27"/>
      <c r="E26" s="27"/>
      <c r="F26" s="27"/>
      <c r="G26" s="77"/>
      <c r="H26" s="19"/>
      <c r="I26" s="1"/>
    </row>
    <row r="27" spans="1:9" x14ac:dyDescent="0.25">
      <c r="A27" s="1"/>
      <c r="B27" s="1"/>
      <c r="C27" s="1"/>
      <c r="D27" s="1"/>
      <c r="E27" s="1"/>
      <c r="F27" s="1"/>
      <c r="G27" s="78"/>
      <c r="H27" s="1"/>
      <c r="I27" s="1"/>
    </row>
    <row r="28" spans="1:9" x14ac:dyDescent="0.25">
      <c r="A28" s="1"/>
      <c r="B28" s="128" t="s">
        <v>74</v>
      </c>
      <c r="C28" s="129"/>
      <c r="D28" s="129"/>
      <c r="E28" s="129"/>
      <c r="F28" s="129"/>
      <c r="G28" s="137"/>
      <c r="H28" s="130"/>
      <c r="I28" s="1"/>
    </row>
    <row r="29" spans="1:9" x14ac:dyDescent="0.25">
      <c r="A29" s="1"/>
      <c r="B29" s="138" t="s">
        <v>75</v>
      </c>
      <c r="C29" s="139"/>
      <c r="D29" s="139"/>
      <c r="E29" s="139"/>
      <c r="F29" s="140"/>
      <c r="G29" s="75">
        <f>(G23+G24-G25)*(1+'Fane 15. Nøgletal'!C12)</f>
        <v>44265786.23438026</v>
      </c>
      <c r="H29" s="14" t="s">
        <v>3</v>
      </c>
      <c r="I29" s="1"/>
    </row>
    <row r="30" spans="1:9" x14ac:dyDescent="0.25">
      <c r="A30" s="1"/>
      <c r="B30" s="138" t="s">
        <v>139</v>
      </c>
      <c r="C30" s="139"/>
      <c r="D30" s="139"/>
      <c r="E30" s="139"/>
      <c r="F30" s="140"/>
      <c r="G30" s="75">
        <v>238876.63569251998</v>
      </c>
      <c r="H30" s="14" t="s">
        <v>3</v>
      </c>
      <c r="I30" s="1"/>
    </row>
    <row r="31" spans="1:9" x14ac:dyDescent="0.25">
      <c r="A31" s="1"/>
      <c r="B31" s="138" t="s">
        <v>76</v>
      </c>
      <c r="C31" s="139"/>
      <c r="D31" s="139"/>
      <c r="E31" s="139"/>
      <c r="F31" s="140"/>
      <c r="G31" s="75">
        <f>G29*'Fane 15. Nøgletal'!C23+G30*'Fane 15. Nøgletal'!C24</f>
        <v>1263717.4365379438</v>
      </c>
      <c r="H31" s="14" t="s">
        <v>3</v>
      </c>
      <c r="I31" s="1"/>
    </row>
    <row r="32" spans="1:9" x14ac:dyDescent="0.25">
      <c r="A32" s="1"/>
      <c r="B32" s="32"/>
      <c r="C32" s="27"/>
      <c r="D32" s="27"/>
      <c r="E32" s="27"/>
      <c r="F32" s="27"/>
      <c r="G32" s="77"/>
      <c r="H32" s="19"/>
      <c r="I32" s="1"/>
    </row>
    <row r="33" spans="1:9" x14ac:dyDescent="0.25">
      <c r="A33" s="1"/>
      <c r="B33" s="1"/>
      <c r="C33" s="1"/>
      <c r="D33" s="1"/>
      <c r="E33" s="1"/>
      <c r="F33" s="1"/>
      <c r="G33" s="78"/>
      <c r="H33" s="1"/>
      <c r="I33" s="1"/>
    </row>
    <row r="34" spans="1:9" x14ac:dyDescent="0.25">
      <c r="A34" s="1"/>
      <c r="B34" s="128" t="s">
        <v>165</v>
      </c>
      <c r="C34" s="129"/>
      <c r="D34" s="129"/>
      <c r="E34" s="129"/>
      <c r="F34" s="129"/>
      <c r="G34" s="137"/>
      <c r="H34" s="130"/>
      <c r="I34" s="1"/>
    </row>
    <row r="35" spans="1:9" x14ac:dyDescent="0.25">
      <c r="A35" s="1"/>
      <c r="B35" s="138" t="s">
        <v>78</v>
      </c>
      <c r="C35" s="139"/>
      <c r="D35" s="139"/>
      <c r="E35" s="139"/>
      <c r="F35" s="140"/>
      <c r="G35" s="75">
        <f>(G29+G30-G31)*(1+'Fane 15. Nøgletal'!C14)</f>
        <v>43383640.553465508</v>
      </c>
      <c r="H35" s="14" t="s">
        <v>3</v>
      </c>
      <c r="I35" s="1"/>
    </row>
    <row r="36" spans="1:9" x14ac:dyDescent="0.25">
      <c r="A36" s="1"/>
      <c r="B36" s="138" t="s">
        <v>167</v>
      </c>
      <c r="C36" s="139"/>
      <c r="D36" s="139"/>
      <c r="E36" s="139"/>
      <c r="F36" s="140"/>
      <c r="G36" s="75">
        <v>135248.23918040001</v>
      </c>
      <c r="H36" s="14" t="s">
        <v>3</v>
      </c>
      <c r="I36" s="1"/>
    </row>
    <row r="37" spans="1:9" x14ac:dyDescent="0.25">
      <c r="A37" s="1"/>
      <c r="B37" s="138" t="s">
        <v>166</v>
      </c>
      <c r="C37" s="139"/>
      <c r="D37" s="139"/>
      <c r="E37" s="139"/>
      <c r="F37" s="140"/>
      <c r="G37" s="75">
        <f>(G35+G36)*'Fane 15. Nøgletal'!C25</f>
        <v>644079.55413115944</v>
      </c>
      <c r="H37" s="14" t="s">
        <v>3</v>
      </c>
      <c r="I37" s="1"/>
    </row>
    <row r="38" spans="1:9" x14ac:dyDescent="0.25">
      <c r="A38" s="1"/>
      <c r="B38" s="32"/>
      <c r="C38" s="27"/>
      <c r="D38" s="27"/>
      <c r="E38" s="27"/>
      <c r="F38" s="27"/>
      <c r="G38" s="77"/>
      <c r="H38" s="19"/>
      <c r="I38" s="1"/>
    </row>
    <row r="39" spans="1:9" x14ac:dyDescent="0.25">
      <c r="A39" s="1"/>
      <c r="B39" s="1"/>
      <c r="C39" s="1"/>
      <c r="D39" s="1"/>
      <c r="E39" s="1"/>
      <c r="F39" s="1"/>
      <c r="G39" s="78"/>
      <c r="H39" s="1"/>
      <c r="I39" s="1"/>
    </row>
    <row r="40" spans="1:9" x14ac:dyDescent="0.25">
      <c r="A40" s="1"/>
      <c r="B40" s="128" t="s">
        <v>223</v>
      </c>
      <c r="C40" s="129"/>
      <c r="D40" s="129"/>
      <c r="E40" s="129"/>
      <c r="F40" s="129"/>
      <c r="G40" s="137"/>
      <c r="H40" s="130"/>
      <c r="I40" s="1"/>
    </row>
    <row r="41" spans="1:9" x14ac:dyDescent="0.25">
      <c r="A41" s="1"/>
      <c r="B41" s="138" t="s">
        <v>77</v>
      </c>
      <c r="C41" s="139"/>
      <c r="D41" s="139"/>
      <c r="E41" s="139"/>
      <c r="F41" s="140"/>
      <c r="G41" s="75">
        <f>(G35+G36-G37)*(1+'Fane 15. Nøgletal'!C14)</f>
        <v>43016296.109001853</v>
      </c>
      <c r="H41" s="14" t="s">
        <v>3</v>
      </c>
      <c r="I41" s="1"/>
    </row>
    <row r="42" spans="1:9" x14ac:dyDescent="0.25">
      <c r="A42" s="1"/>
      <c r="B42" s="43" t="s">
        <v>231</v>
      </c>
      <c r="C42" s="92"/>
      <c r="D42" s="92"/>
      <c r="E42" s="92"/>
      <c r="F42" s="93"/>
      <c r="G42" s="79">
        <f>('Fane 2.1. Økonomisk ramme 2023'!C11+'Fane 2.1. Økonomisk ramme 2023'!C13+'Fane 2.1. Økonomisk ramme 2023'!C15)*(1+'Fane 15. Nøgletal'!C15)</f>
        <v>997824.70421136008</v>
      </c>
      <c r="H42" s="14" t="s">
        <v>3</v>
      </c>
      <c r="I42" s="1"/>
    </row>
    <row r="43" spans="1:9" x14ac:dyDescent="0.25">
      <c r="A43" s="1"/>
      <c r="B43" s="138" t="s">
        <v>168</v>
      </c>
      <c r="C43" s="139"/>
      <c r="D43" s="139"/>
      <c r="E43" s="139"/>
      <c r="F43" s="140"/>
      <c r="G43" s="75">
        <f>(G41)*'Fane 15. Nøgletal'!C25+G42*'Fane 15. Nøgletal'!C26</f>
        <v>636641.18241322739</v>
      </c>
      <c r="H43" s="14" t="s">
        <v>3</v>
      </c>
      <c r="I43" s="1"/>
    </row>
    <row r="44" spans="1:9" x14ac:dyDescent="0.25">
      <c r="A44" s="1"/>
      <c r="B44" s="32"/>
      <c r="C44" s="27"/>
      <c r="D44" s="27"/>
      <c r="E44" s="27"/>
      <c r="F44" s="27"/>
      <c r="G44" s="77"/>
      <c r="H44" s="19"/>
      <c r="I44" s="1"/>
    </row>
    <row r="45" spans="1:9" x14ac:dyDescent="0.25">
      <c r="A45" s="1"/>
      <c r="B45" s="1"/>
      <c r="C45" s="1"/>
      <c r="D45" s="1"/>
      <c r="E45" s="1"/>
      <c r="F45" s="1"/>
      <c r="G45" s="78"/>
      <c r="H45" s="1"/>
      <c r="I45" s="1"/>
    </row>
    <row r="46" spans="1:9" x14ac:dyDescent="0.25">
      <c r="A46" s="1"/>
      <c r="B46" s="1"/>
      <c r="C46" s="1"/>
      <c r="D46" s="1"/>
      <c r="E46" s="1"/>
      <c r="F46" s="1"/>
      <c r="G46" s="78"/>
      <c r="H46" s="1"/>
      <c r="I46" s="1"/>
    </row>
    <row r="47" spans="1:9" x14ac:dyDescent="0.25">
      <c r="A47" s="1"/>
      <c r="B47" s="1"/>
      <c r="C47" s="1"/>
      <c r="D47" s="1"/>
      <c r="E47" s="1"/>
      <c r="F47" s="1"/>
      <c r="G47" s="78"/>
      <c r="H47" s="1"/>
      <c r="I47" s="1"/>
    </row>
    <row r="48" spans="1:9" x14ac:dyDescent="0.25">
      <c r="A48" s="1"/>
      <c r="B48" s="1"/>
      <c r="C48" s="1"/>
      <c r="D48" s="1"/>
      <c r="E48" s="1"/>
      <c r="F48" s="1"/>
      <c r="G48" s="78"/>
      <c r="H48" s="1"/>
      <c r="I48" s="1"/>
    </row>
    <row r="49" spans="1:9" x14ac:dyDescent="0.25">
      <c r="A49" s="1"/>
      <c r="B49" s="1"/>
      <c r="C49" s="1"/>
      <c r="D49" s="1"/>
      <c r="E49" s="1"/>
      <c r="F49" s="1"/>
      <c r="G49" s="78"/>
      <c r="H49" s="1"/>
      <c r="I49" s="1"/>
    </row>
    <row r="50" spans="1:9" x14ac:dyDescent="0.25">
      <c r="A50" s="1"/>
      <c r="B50" s="1"/>
      <c r="C50" s="1"/>
      <c r="D50" s="1"/>
      <c r="E50" s="1"/>
      <c r="F50" s="1"/>
      <c r="G50" s="78"/>
      <c r="H50" s="1"/>
      <c r="I50" s="1"/>
    </row>
    <row r="51" spans="1:9" x14ac:dyDescent="0.25">
      <c r="A51" s="1"/>
      <c r="B51" s="1"/>
      <c r="C51" s="1"/>
      <c r="D51" s="1"/>
      <c r="E51" s="1"/>
      <c r="F51" s="1"/>
      <c r="G51" s="78"/>
      <c r="H51" s="1"/>
      <c r="I51" s="1"/>
    </row>
    <row r="52" spans="1:9" x14ac:dyDescent="0.25">
      <c r="A52" s="1"/>
      <c r="B52" s="128" t="s">
        <v>244</v>
      </c>
      <c r="C52" s="129"/>
      <c r="D52" s="129"/>
      <c r="E52" s="129"/>
      <c r="F52" s="129"/>
      <c r="G52" s="137"/>
      <c r="H52" s="130"/>
      <c r="I52" s="1"/>
    </row>
    <row r="53" spans="1:9" x14ac:dyDescent="0.25">
      <c r="A53" s="1"/>
      <c r="B53" s="138" t="s">
        <v>140</v>
      </c>
      <c r="C53" s="139"/>
      <c r="D53" s="139"/>
      <c r="E53" s="139"/>
      <c r="F53" s="140"/>
      <c r="G53" s="75">
        <f>(G41+G42-G43)*(1+'Fane 15. Nøgletal'!C15)</f>
        <v>44921717.905656472</v>
      </c>
      <c r="H53" s="14" t="s">
        <v>3</v>
      </c>
      <c r="I53" s="1"/>
    </row>
    <row r="54" spans="1:9" x14ac:dyDescent="0.25">
      <c r="A54" s="1"/>
      <c r="B54" s="138" t="s">
        <v>141</v>
      </c>
      <c r="C54" s="139"/>
      <c r="D54" s="139"/>
      <c r="E54" s="139"/>
      <c r="F54" s="140"/>
      <c r="G54" s="75">
        <f>(G53)*'Fane 15. Nøgletal'!C26</f>
        <v>0</v>
      </c>
      <c r="H54" s="14" t="s">
        <v>3</v>
      </c>
      <c r="I54" s="1"/>
    </row>
    <row r="55" spans="1:9" x14ac:dyDescent="0.25">
      <c r="A55" s="1"/>
      <c r="B55" s="32"/>
      <c r="C55" s="27"/>
      <c r="D55" s="27"/>
      <c r="E55" s="27"/>
      <c r="F55" s="27"/>
      <c r="G55" s="77"/>
      <c r="H55" s="19"/>
      <c r="I55" s="1"/>
    </row>
    <row r="56" spans="1:9" x14ac:dyDescent="0.25">
      <c r="A56" s="1"/>
      <c r="B56" s="1"/>
      <c r="C56" s="1"/>
      <c r="D56" s="1"/>
      <c r="E56" s="1"/>
      <c r="F56" s="1"/>
      <c r="G56" s="78"/>
      <c r="H56" s="1"/>
      <c r="I56" s="1"/>
    </row>
    <row r="57" spans="1:9" x14ac:dyDescent="0.25">
      <c r="A57" s="1"/>
      <c r="B57" s="128" t="s">
        <v>153</v>
      </c>
      <c r="C57" s="129"/>
      <c r="D57" s="129"/>
      <c r="E57" s="129"/>
      <c r="F57" s="129"/>
      <c r="G57" s="137"/>
      <c r="H57" s="130"/>
      <c r="I57" s="1"/>
    </row>
    <row r="58" spans="1:9" x14ac:dyDescent="0.25">
      <c r="A58" s="1"/>
      <c r="B58" s="138" t="s">
        <v>173</v>
      </c>
      <c r="C58" s="139"/>
      <c r="D58" s="139"/>
      <c r="E58" s="139"/>
      <c r="F58" s="140"/>
      <c r="G58" s="75">
        <f>(G53-G54)*(1+'Fane 15. Nøgletal'!C15)</f>
        <v>46520931.063097842</v>
      </c>
      <c r="H58" s="14" t="s">
        <v>3</v>
      </c>
      <c r="I58" s="1"/>
    </row>
    <row r="59" spans="1:9" x14ac:dyDescent="0.25">
      <c r="A59" s="1"/>
      <c r="B59" s="138" t="s">
        <v>174</v>
      </c>
      <c r="C59" s="139"/>
      <c r="D59" s="139"/>
      <c r="E59" s="139"/>
      <c r="F59" s="140"/>
      <c r="G59" s="75">
        <f>(G58)*'Fane 15. Nøgletal'!C26</f>
        <v>0</v>
      </c>
      <c r="H59" s="14" t="s">
        <v>3</v>
      </c>
      <c r="I59" s="1"/>
    </row>
    <row r="60" spans="1:9" x14ac:dyDescent="0.25">
      <c r="A60" s="1"/>
      <c r="B60" s="32"/>
      <c r="C60" s="27"/>
      <c r="D60" s="27"/>
      <c r="E60" s="27"/>
      <c r="F60" s="27"/>
      <c r="G60" s="77"/>
      <c r="H60" s="19"/>
      <c r="I60" s="1"/>
    </row>
    <row r="61" spans="1:9" x14ac:dyDescent="0.25">
      <c r="A61" s="1"/>
      <c r="B61" s="1"/>
      <c r="C61" s="1"/>
      <c r="D61" s="1"/>
      <c r="E61" s="1"/>
      <c r="F61" s="1"/>
      <c r="G61" s="78"/>
      <c r="H61" s="1"/>
      <c r="I61" s="1"/>
    </row>
    <row r="62" spans="1:9" x14ac:dyDescent="0.25">
      <c r="A62" s="1"/>
      <c r="B62" s="128" t="s">
        <v>197</v>
      </c>
      <c r="C62" s="129"/>
      <c r="D62" s="129"/>
      <c r="E62" s="129"/>
      <c r="F62" s="129"/>
      <c r="G62" s="137"/>
      <c r="H62" s="130"/>
      <c r="I62" s="1"/>
    </row>
    <row r="63" spans="1:9" x14ac:dyDescent="0.25">
      <c r="A63" s="1"/>
      <c r="B63" s="138" t="s">
        <v>198</v>
      </c>
      <c r="C63" s="139"/>
      <c r="D63" s="139"/>
      <c r="E63" s="139"/>
      <c r="F63" s="140"/>
      <c r="G63" s="75">
        <f>(G58-G59)*(1+'Fane 15. Nøgletal'!C15)</f>
        <v>48177076.208944127</v>
      </c>
      <c r="H63" s="14" t="s">
        <v>3</v>
      </c>
      <c r="I63" s="1"/>
    </row>
    <row r="64" spans="1:9" x14ac:dyDescent="0.25">
      <c r="A64" s="1"/>
      <c r="B64" s="138" t="s">
        <v>199</v>
      </c>
      <c r="C64" s="139"/>
      <c r="D64" s="139"/>
      <c r="E64" s="139"/>
      <c r="F64" s="140"/>
      <c r="G64" s="75">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7MSvz2kY0C8pshXcpd0n2z+LuSbgu9jaSJzxz8LWU963JG9CCgzIQRiqr4dB32O4icrEL/15kwtCGJQCaaEIfQ==" saltValue="NP9FRSTMlLmsI3QHAqbDD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0" t="s">
        <v>88</v>
      </c>
      <c r="C3" s="120"/>
      <c r="D3" s="120"/>
      <c r="E3" s="120"/>
      <c r="F3" s="120"/>
      <c r="G3" s="120"/>
      <c r="H3" s="1"/>
    </row>
    <row r="4" spans="1:8" ht="15" customHeight="1" x14ac:dyDescent="0.25">
      <c r="A4" s="1"/>
      <c r="B4" s="120"/>
      <c r="C4" s="120"/>
      <c r="D4" s="120"/>
      <c r="E4" s="120"/>
      <c r="F4" s="120"/>
      <c r="G4" s="12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0" t="s">
        <v>10</v>
      </c>
      <c r="C8" s="150"/>
      <c r="D8" s="150"/>
      <c r="E8" s="150"/>
      <c r="F8" s="150"/>
      <c r="G8" s="150"/>
      <c r="H8" s="1"/>
    </row>
    <row r="9" spans="1:8" x14ac:dyDescent="0.25">
      <c r="A9" s="1"/>
      <c r="B9" s="138" t="s">
        <v>154</v>
      </c>
      <c r="C9" s="139"/>
      <c r="D9" s="139"/>
      <c r="E9" s="139"/>
      <c r="F9" s="140"/>
      <c r="G9" s="35">
        <v>4.6878365920928191E-3</v>
      </c>
      <c r="H9" s="1"/>
    </row>
    <row r="10" spans="1:8" x14ac:dyDescent="0.25">
      <c r="A10" s="1"/>
      <c r="B10" s="151"/>
      <c r="C10" s="151"/>
      <c r="D10" s="151"/>
      <c r="E10" s="151"/>
      <c r="F10" s="151"/>
      <c r="G10" s="151"/>
      <c r="H10" s="1"/>
    </row>
    <row r="11" spans="1:8" ht="29.25" customHeight="1" x14ac:dyDescent="0.25">
      <c r="A11" s="1"/>
      <c r="B11" s="149" t="s">
        <v>238</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Zz6BBXnTqeQDLHfTixlwe+BFlH6wkDxZ8+XjKqOgdvGxOHglWf72sbGDKb+MVgBTgeif8FcWad9re/MhYGv3dQ==" saltValue="S36Bz9VWiZXUY3hLN8gE6w=="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2022-12-06T11:33:58Z</dcterms:modified>
</cp:coreProperties>
</file>