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Guldborgsund Vand AS (V070)\ØR2024\"/>
    </mc:Choice>
  </mc:AlternateContent>
  <xr:revisionPtr revIDLastSave="0" documentId="13_ncr:1_{541F1258-153A-43E7-AB79-EF8A2C6E65E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1"/>
  <c r="E31" i="41" l="1"/>
  <c r="E33" i="41" s="1"/>
  <c r="E27" i="4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<sst xmlns="http://schemas.openxmlformats.org/spreadsheetml/2006/main" count="548" uniqueCount="261">
  <si>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</si>
  <si>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</si>
  <si>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</si>
  <si>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</si>
  <si>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</si>
  <si>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</si>
  <si>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</si>
  <si>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</si>
  <si>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</si>
  <si>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</si>
  <si>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</si>
  <si>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</si>
  <si>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</si>
  <si>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</si>
  <si>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</si>
  <si>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</si>
  <si>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</si>
  <si>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</si>
  <si>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</si>
  <si>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</si>
  <si>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</si>
  <si>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</si>
  <si>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</si>
  <si>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</si>
  <si>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</si>
  <si>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</si>
  <si>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</si>
  <si>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</si>
  <si>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</si>
  <si>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</si>
  <si>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</si>
  <si>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</si>
  <si>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</si>
  <si>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</si>
  <si>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</si>
  <si>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</si>
  <si>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</si>
  <si>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</si>
  <si>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</si>
  <si>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</si>
  <si>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</si>
  <si>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</si>
  <si>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</si>
  <si>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</si>
  <si>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</si>
  <si>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</si>
  <si>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</si>
  <si>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</si>
  <si>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</si>
  <si>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</si>
  <si>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</si>
  <si>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</si>
  <si>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</si>
  <si>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</si>
  <si>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</si>
  <si>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</si>
  <si>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</si>
  <si>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</si>
  <si>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</si>
  <si>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</si>
  <si>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</si>
  <si>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</si>
  <si>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</si>
  <si>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</si>
  <si>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</si>
  <si>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</si>
  <si>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</si>
  <si>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</si>
  <si>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</si>
  <si>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</si>
  <si>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</si>
  <si>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</si>
  <si>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</si>
  <si>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</si>
  <si>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</si>
  <si>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</si>
  <si>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</si>
  <si>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</si>
  <si>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</si>
  <si>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</si>
  <si>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</si>
  <si>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</si>
  <si>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</si>
  <si>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</si>
  <si>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</si>
  <si>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</si>
  <si>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</si>
  <si>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</si>
  <si>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</si>
  <si>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</si>
  <si>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</si>
  <si>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</si>
  <si>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</si>
  <si>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</si>
  <si>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</si>
  <si>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</si>
  <si>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</si>
  <si>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</si>
  <si>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</si>
  <si>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</si>
  <si>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</si>
  <si>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</si>
  <si>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</si>
  <si>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</si>
  <si>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</si>
  <si>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</si>
  <si>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</si>
  <si>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</si>
  <si>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</si>
  <si>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</si>
  <si>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</si>
  <si>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</si>
  <si>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</si>
  <si>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</si>
  <si>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</si>
  <si>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</si>
  <si>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</si>
  <si>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</si>
  <si>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</si>
  <si>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</si>
  <si>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</si>
  <si>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</si>
  <si>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</si>
  <si>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</si>
  <si>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</si>
  <si>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</si>
  <si>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</si>
  <si>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</si>
  <si>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</si>
  <si>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</si>
  <si>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</si>
  <si>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</si>
  <si>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</si>
  <si>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</si>
  <si>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</si>
  <si>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</si>
  <si>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</si>
  <si>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</si>
  <si>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</si>
  <si>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</si>
  <si>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</si>
  <si>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</si>
  <si>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</si>
  <si>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</si>
  <si>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</si>
  <si>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</si>
  <si>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</si>
  <si>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</si>
  <si>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</si>
  <si>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</si>
  <si>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</si>
  <si>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</si>
  <si>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</si>
  <si>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</si>
  <si>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</si>
  <si>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</si>
  <si>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</si>
  <si>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</si>
  <si>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</si>
  <si>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</si>
  <si>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</si>
  <si>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</si>
  <si>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</si>
  <si>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</si>
  <si>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</si>
  <si>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</si>
  <si>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</si>
  <si>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</si>
  <si>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</si>
  <si>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</si>
  <si>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</si>
  <si>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</si>
  <si>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</si>
  <si>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</si>
  <si>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</si>
  <si>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</si>
  <si>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</si>
  <si>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</si>
  <si>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</si>
  <si>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</si>
  <si>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</si>
  <si>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</si>
  <si>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</si>
  <si>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</si>
  <si>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</si>
  <si>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</si>
  <si>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</si>
  <si>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</si>
  <si>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</si>
  <si>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</si>
  <si>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</si>
  <si>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</si>
  <si>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</si>
  <si>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</si>
  <si>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</si>
  <si>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</si>
  <si>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</si>
  <si>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</si>
  <si>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</si>
  <si>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</si>
  <si>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</si>
  <si>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</si>
  <si>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</si>
  <si>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</si>
  <si>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</si>
  <si>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</si>
  <si>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</si>
  <si>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</si>
  <si>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</si>
  <si>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</si>
  <si>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</si>
  <si>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</si>
  <si>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</si>
  <si>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</si>
  <si>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</si>
  <si>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</si>
  <si>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</si>
  <si>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</si>
  <si>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</si>
  <si>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</si>
  <si>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</si>
  <si>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</si>
  <si>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</si>
  <si>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</si>
  <si>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</si>
  <si>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</si>
  <si>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</si>
  <si>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</si>
  <si>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</si>
  <si>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</si>
  <si>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</si>
  <si>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</si>
  <si>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</si>
  <si>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</si>
  <si>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</si>
  <si>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</si>
  <si>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</si>
  <si>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</si>
  <si>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</si>
  <si>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</si>
  <si>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</si>
  <si>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</si>
  <si>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</si>
  <si>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Nye Kunder</t>
  </si>
  <si>
    <t>Afgift for ledningsført vand</t>
  </si>
  <si>
    <t>Afgift til Forsyningssekretariatet</t>
  </si>
  <si>
    <t>Ejendomsskat</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</si>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</sst>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10" fontId="8" fillId="0" borderId="5" xfId="0"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9" t="s">
        <v>4</v>
      </c>
      <c r="E6" s="89"/>
      <c r="F6" s="89"/>
      <c r="G6" s="89"/>
      <c r="H6" s="3"/>
      <c r="I6" s="1"/>
    </row>
    <row r="7" spans="1:9" ht="15" customHeight="1" x14ac:dyDescent="0.25">
      <c r="A7" s="1"/>
      <c r="B7" s="1"/>
      <c r="C7" s="3"/>
      <c r="D7" s="89"/>
      <c r="E7" s="89"/>
      <c r="F7" s="89"/>
      <c r="G7" s="89"/>
      <c r="H7" s="3"/>
      <c r="I7" s="1"/>
    </row>
    <row r="8" spans="1:9" ht="15.75" x14ac:dyDescent="0.25">
      <c r="A8" s="1"/>
      <c r="B8" s="1"/>
      <c r="C8" s="4"/>
      <c r="D8" s="91" t="s">
        <v>235</v>
      </c>
      <c r="E8" s="91"/>
      <c r="F8" s="91"/>
      <c r="G8" s="9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0" t="s">
        <v>5</v>
      </c>
      <c r="E11" s="90"/>
      <c r="F11" s="90"/>
      <c r="G11" s="90"/>
      <c r="H11" s="5"/>
      <c r="I11" s="1"/>
    </row>
    <row r="12" spans="1:9" x14ac:dyDescent="0.25">
      <c r="A12" s="1"/>
      <c r="B12" s="1"/>
      <c r="C12" s="1"/>
      <c r="D12" s="1"/>
      <c r="E12" s="1"/>
      <c r="F12" s="1"/>
      <c r="G12" s="1"/>
      <c r="H12" s="1"/>
      <c r="I12" s="1"/>
    </row>
    <row r="13" spans="1:9" x14ac:dyDescent="0.25">
      <c r="A13" s="1"/>
      <c r="B13" s="1"/>
      <c r="C13" s="6" t="s">
        <v>6</v>
      </c>
      <c r="D13" s="86" t="s">
        <v>162</v>
      </c>
      <c r="E13" s="87"/>
      <c r="F13" s="87"/>
      <c r="G13" s="88"/>
      <c r="H13" s="1"/>
      <c r="I13" s="1"/>
    </row>
    <row r="14" spans="1:9" x14ac:dyDescent="0.25">
      <c r="A14" s="1"/>
      <c r="B14" s="1"/>
      <c r="C14" s="6" t="s">
        <v>14</v>
      </c>
      <c r="D14" s="86" t="s">
        <v>197</v>
      </c>
      <c r="E14" s="87"/>
      <c r="F14" s="87"/>
      <c r="G14" s="88"/>
      <c r="H14" s="1"/>
      <c r="I14" s="1"/>
    </row>
    <row r="15" spans="1:9" x14ac:dyDescent="0.25">
      <c r="A15" s="1"/>
      <c r="B15" s="1"/>
      <c r="C15" s="6" t="s">
        <v>30</v>
      </c>
      <c r="D15" s="86" t="s">
        <v>141</v>
      </c>
      <c r="E15" s="87"/>
      <c r="F15" s="87"/>
      <c r="G15" s="88"/>
      <c r="H15" s="1"/>
      <c r="I15" s="1"/>
    </row>
    <row r="16" spans="1:9" x14ac:dyDescent="0.25">
      <c r="A16" s="1"/>
      <c r="B16" s="1"/>
      <c r="C16" s="6" t="s">
        <v>31</v>
      </c>
      <c r="D16" s="86" t="s">
        <v>194</v>
      </c>
      <c r="E16" s="87"/>
      <c r="F16" s="87"/>
      <c r="G16" s="88"/>
      <c r="H16" s="1"/>
      <c r="I16" s="1"/>
    </row>
    <row r="17" spans="1:9" x14ac:dyDescent="0.25">
      <c r="A17" s="1"/>
      <c r="B17" s="1"/>
      <c r="C17" s="6" t="s">
        <v>102</v>
      </c>
      <c r="D17" s="86" t="s">
        <v>195</v>
      </c>
      <c r="E17" s="87"/>
      <c r="F17" s="87"/>
      <c r="G17" s="88"/>
      <c r="H17" s="1"/>
      <c r="I17" s="1"/>
    </row>
    <row r="18" spans="1:9" x14ac:dyDescent="0.25">
      <c r="A18" s="1"/>
      <c r="B18" s="1"/>
      <c r="C18" s="6" t="s">
        <v>86</v>
      </c>
      <c r="D18" s="92" t="s">
        <v>79</v>
      </c>
      <c r="E18" s="93"/>
      <c r="F18" s="93"/>
      <c r="G18" s="94"/>
      <c r="H18" s="1"/>
      <c r="I18" s="1"/>
    </row>
    <row r="19" spans="1:9" x14ac:dyDescent="0.25">
      <c r="A19" s="1"/>
      <c r="B19" s="1"/>
      <c r="C19" s="6" t="s">
        <v>87</v>
      </c>
      <c r="D19" s="92" t="s">
        <v>80</v>
      </c>
      <c r="E19" s="93"/>
      <c r="F19" s="93"/>
      <c r="G19" s="94"/>
      <c r="H19" s="1"/>
      <c r="I19" s="1"/>
    </row>
    <row r="20" spans="1:9" x14ac:dyDescent="0.25">
      <c r="A20" s="1"/>
      <c r="B20" s="1"/>
      <c r="C20" s="6" t="s">
        <v>7</v>
      </c>
      <c r="D20" s="92" t="s">
        <v>9</v>
      </c>
      <c r="E20" s="93"/>
      <c r="F20" s="93"/>
      <c r="G20" s="94"/>
      <c r="H20" s="1"/>
      <c r="I20" s="1"/>
    </row>
    <row r="21" spans="1:9" x14ac:dyDescent="0.25">
      <c r="A21" s="1"/>
      <c r="B21" s="1"/>
      <c r="C21" s="6" t="s">
        <v>88</v>
      </c>
      <c r="D21" s="83" t="s">
        <v>11</v>
      </c>
      <c r="E21" s="84"/>
      <c r="F21" s="84"/>
      <c r="G21" s="85"/>
      <c r="H21" s="1"/>
      <c r="I21" s="1"/>
    </row>
    <row r="22" spans="1:9" x14ac:dyDescent="0.25">
      <c r="A22" s="1"/>
      <c r="B22" s="1"/>
      <c r="C22" s="6" t="s">
        <v>73</v>
      </c>
      <c r="D22" s="77" t="s">
        <v>196</v>
      </c>
      <c r="E22" s="78"/>
      <c r="F22" s="78"/>
      <c r="G22" s="79"/>
      <c r="H22" s="1"/>
      <c r="I22" s="1"/>
    </row>
    <row r="23" spans="1:9" x14ac:dyDescent="0.25">
      <c r="A23" s="1"/>
      <c r="B23" s="1"/>
      <c r="C23" s="6" t="s">
        <v>8</v>
      </c>
      <c r="D23" s="77" t="s">
        <v>176</v>
      </c>
      <c r="E23" s="78"/>
      <c r="F23" s="78"/>
      <c r="G23" s="79"/>
      <c r="H23" s="1"/>
      <c r="I23" s="1"/>
    </row>
    <row r="24" spans="1:9" x14ac:dyDescent="0.25">
      <c r="A24" s="1"/>
      <c r="B24" s="1"/>
      <c r="C24" s="6" t="s">
        <v>172</v>
      </c>
      <c r="D24" s="77" t="s">
        <v>163</v>
      </c>
      <c r="E24" s="78"/>
      <c r="F24" s="78"/>
      <c r="G24" s="79"/>
      <c r="H24" s="1"/>
      <c r="I24" s="1"/>
    </row>
    <row r="25" spans="1:9" x14ac:dyDescent="0.25">
      <c r="A25" s="1"/>
      <c r="B25" s="1"/>
      <c r="C25" s="6" t="s">
        <v>173</v>
      </c>
      <c r="D25" s="77" t="s">
        <v>74</v>
      </c>
      <c r="E25" s="78"/>
      <c r="F25" s="78"/>
      <c r="G25" s="79"/>
      <c r="H25" s="1"/>
      <c r="I25" s="1"/>
    </row>
    <row r="26" spans="1:9" x14ac:dyDescent="0.25">
      <c r="A26" s="1"/>
      <c r="B26" s="1"/>
      <c r="C26" s="6" t="s">
        <v>174</v>
      </c>
      <c r="D26" s="77" t="s">
        <v>75</v>
      </c>
      <c r="E26" s="78"/>
      <c r="F26" s="78"/>
      <c r="G26" s="79"/>
      <c r="H26" s="1"/>
      <c r="I26" s="1"/>
    </row>
    <row r="27" spans="1:9" x14ac:dyDescent="0.25">
      <c r="A27" s="1"/>
      <c r="B27" s="1"/>
      <c r="C27" s="6" t="s">
        <v>89</v>
      </c>
      <c r="D27" s="77" t="s">
        <v>103</v>
      </c>
      <c r="E27" s="78"/>
      <c r="F27" s="78"/>
      <c r="G27" s="79"/>
      <c r="H27" s="1"/>
      <c r="I27" s="1"/>
    </row>
    <row r="28" spans="1:9" x14ac:dyDescent="0.25">
      <c r="A28" s="1"/>
      <c r="B28" s="1"/>
      <c r="C28" s="6" t="s">
        <v>83</v>
      </c>
      <c r="D28" s="77" t="s">
        <v>32</v>
      </c>
      <c r="E28" s="78"/>
      <c r="F28" s="78"/>
      <c r="G28" s="79"/>
      <c r="H28" s="1"/>
      <c r="I28" s="1"/>
    </row>
    <row r="29" spans="1:9" x14ac:dyDescent="0.25">
      <c r="A29" s="1"/>
      <c r="B29" s="1"/>
      <c r="C29" s="6" t="s">
        <v>175</v>
      </c>
      <c r="D29" s="80" t="s">
        <v>84</v>
      </c>
      <c r="E29" s="81"/>
      <c r="F29" s="81"/>
      <c r="G29" s="82"/>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7vr8S1jkBtWPa0aeum2hFF04Yx+if80RjvCjnSEODdC24yTzB0+NpGm6FJOuIUMssH+OcHJK4+A8czAb6e/M7Q==" saltValue="i47zOOmnt54XvBTPpFxEw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5" t="s">
        <v>92</v>
      </c>
      <c r="C3" s="95"/>
      <c r="D3" s="95"/>
      <c r="E3" s="1"/>
      <c r="F3" s="1"/>
    </row>
    <row r="4" spans="1:6" ht="15" customHeight="1" x14ac:dyDescent="0.25">
      <c r="A4" s="1"/>
      <c r="B4" s="95"/>
      <c r="C4" s="95"/>
      <c r="D4" s="9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9" t="s">
        <v>226</v>
      </c>
      <c r="C8" s="100"/>
      <c r="D8" s="101"/>
      <c r="E8" s="1"/>
      <c r="F8" s="1"/>
    </row>
    <row r="9" spans="1:6" ht="15" customHeight="1" x14ac:dyDescent="0.25">
      <c r="A9" s="1"/>
      <c r="B9" s="32" t="s">
        <v>28</v>
      </c>
      <c r="C9" s="11" t="s">
        <v>212</v>
      </c>
      <c r="D9" s="11"/>
      <c r="E9" s="1"/>
      <c r="F9" s="1"/>
    </row>
    <row r="10" spans="1:6" ht="15" customHeight="1" x14ac:dyDescent="0.25">
      <c r="A10" s="1"/>
      <c r="B10" s="65" t="s">
        <v>244</v>
      </c>
      <c r="C10" s="9">
        <v>8284705</v>
      </c>
      <c r="D10" s="14" t="s">
        <v>3</v>
      </c>
      <c r="E10" s="1"/>
      <c r="F10" s="1"/>
    </row>
    <row r="11" spans="1:6" x14ac:dyDescent="0.25">
      <c r="A11" s="1"/>
      <c r="B11" s="65" t="s">
        <v>245</v>
      </c>
      <c r="C11" s="9">
        <v>80058</v>
      </c>
      <c r="D11" s="14" t="s">
        <v>3</v>
      </c>
      <c r="E11" s="1"/>
      <c r="F11" s="1"/>
    </row>
    <row r="12" spans="1:6" x14ac:dyDescent="0.25">
      <c r="A12" s="1"/>
      <c r="B12" s="65" t="s">
        <v>246</v>
      </c>
      <c r="C12" s="9">
        <v>1672</v>
      </c>
      <c r="D12" s="14" t="s">
        <v>3</v>
      </c>
      <c r="E12" s="1"/>
      <c r="F12" s="1"/>
    </row>
    <row r="13" spans="1:6" x14ac:dyDescent="0.25">
      <c r="A13" s="1"/>
      <c r="B13" s="65"/>
      <c r="C13" s="9"/>
      <c r="D13" s="14" t="s">
        <v>3</v>
      </c>
      <c r="E13" s="1"/>
      <c r="F13" s="1"/>
    </row>
    <row r="14" spans="1:6" x14ac:dyDescent="0.25">
      <c r="A14" s="1"/>
      <c r="B14" s="65"/>
      <c r="C14" s="9"/>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1" t="s">
        <v>213</v>
      </c>
      <c r="C19" s="12">
        <f>SUM(C10:C18)</f>
        <v>8366435</v>
      </c>
      <c r="D19" s="13" t="s">
        <v>3</v>
      </c>
      <c r="E19" s="1"/>
      <c r="F19" s="1"/>
    </row>
    <row r="20" spans="1:6" x14ac:dyDescent="0.25">
      <c r="A20" s="1"/>
      <c r="B20" s="51" t="s">
        <v>214</v>
      </c>
      <c r="C20" s="12">
        <f>C19*(1+'Fane 13. Nøgletal'!C16)^2</f>
        <v>9773072.3381983992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SZ0y/Dij06tJu1scbzLr7wD2Nr31dVKUUcwp5EqUT4eXoCaWx16gn5CfirYNOv2FJScx5W6NgRoIweeq/9WFIA==" saltValue="9ViI2ju0GGxw3oMKHuyO+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8" t="s">
        <v>227</v>
      </c>
      <c r="C3" s="98"/>
      <c r="D3" s="98"/>
      <c r="E3" s="98"/>
      <c r="F3" s="98"/>
      <c r="G3" s="1"/>
    </row>
    <row r="4" spans="1:7" ht="15" customHeight="1" x14ac:dyDescent="0.25">
      <c r="A4" s="1"/>
      <c r="B4" s="98"/>
      <c r="C4" s="98"/>
      <c r="D4" s="98"/>
      <c r="E4" s="98"/>
      <c r="F4" s="98"/>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9" t="s">
        <v>248</v>
      </c>
      <c r="C8" s="100"/>
      <c r="D8" s="100"/>
      <c r="E8" s="100"/>
      <c r="F8" s="101"/>
      <c r="G8" s="1"/>
    </row>
    <row r="9" spans="1:7" x14ac:dyDescent="0.25">
      <c r="A9" s="1"/>
      <c r="B9" s="102" t="s">
        <v>249</v>
      </c>
      <c r="C9" s="103"/>
      <c r="D9" s="104"/>
      <c r="E9" s="28">
        <v>-350232.26007908583</v>
      </c>
      <c r="F9" s="14" t="s">
        <v>3</v>
      </c>
      <c r="G9" s="1"/>
    </row>
    <row r="10" spans="1:7" x14ac:dyDescent="0.25">
      <c r="A10" s="1"/>
      <c r="B10" s="51"/>
      <c r="C10" s="52"/>
      <c r="D10" s="52"/>
      <c r="E10" s="52"/>
      <c r="F10" s="19"/>
      <c r="G10" s="1"/>
    </row>
    <row r="11" spans="1:7" ht="54.75" customHeight="1" x14ac:dyDescent="0.25">
      <c r="A11" s="1"/>
      <c r="B11" s="117" t="s">
        <v>250</v>
      </c>
      <c r="C11" s="118"/>
      <c r="D11" s="118"/>
      <c r="E11" s="118"/>
      <c r="F11" s="119"/>
      <c r="G11" s="1"/>
    </row>
    <row r="12" spans="1:7" x14ac:dyDescent="0.25">
      <c r="A12" s="1"/>
      <c r="B12" s="1"/>
      <c r="C12" s="1"/>
      <c r="D12" s="1"/>
      <c r="E12" s="1"/>
      <c r="F12" s="1"/>
      <c r="G12" s="1"/>
    </row>
    <row r="13" spans="1:7" x14ac:dyDescent="0.25">
      <c r="A13" s="1"/>
      <c r="B13" s="99" t="s">
        <v>140</v>
      </c>
      <c r="C13" s="100"/>
      <c r="D13" s="100"/>
      <c r="E13" s="100"/>
      <c r="F13" s="101"/>
      <c r="G13" s="1"/>
    </row>
    <row r="14" spans="1:7" x14ac:dyDescent="0.25">
      <c r="A14" s="1"/>
      <c r="B14" s="102" t="s">
        <v>251</v>
      </c>
      <c r="C14" s="103"/>
      <c r="D14" s="104"/>
      <c r="E14" s="9">
        <v>-365417.78540216573</v>
      </c>
      <c r="F14" s="14" t="s">
        <v>3</v>
      </c>
      <c r="G14" s="1"/>
    </row>
    <row r="15" spans="1:7" x14ac:dyDescent="0.25">
      <c r="A15" s="1"/>
      <c r="B15" s="102" t="s">
        <v>252</v>
      </c>
      <c r="C15" s="103"/>
      <c r="D15" s="104"/>
      <c r="E15" s="9">
        <v>-365417.78540216573</v>
      </c>
      <c r="F15" s="14" t="s">
        <v>3</v>
      </c>
      <c r="G15" s="1"/>
    </row>
    <row r="16" spans="1:7" x14ac:dyDescent="0.25">
      <c r="A16" s="1"/>
      <c r="B16" s="51"/>
      <c r="C16" s="52"/>
      <c r="D16" s="52"/>
      <c r="E16" s="52"/>
      <c r="F16" s="19"/>
      <c r="G16" s="1"/>
    </row>
    <row r="17" spans="1:7" ht="33.75" customHeight="1" x14ac:dyDescent="0.25">
      <c r="A17" s="1"/>
      <c r="B17" s="117" t="s">
        <v>253</v>
      </c>
      <c r="C17" s="118"/>
      <c r="D17" s="118"/>
      <c r="E17" s="118"/>
      <c r="F17" s="119"/>
      <c r="G17" s="1"/>
    </row>
    <row r="18" spans="1:7" x14ac:dyDescent="0.25">
      <c r="A18" s="1"/>
      <c r="B18" s="1"/>
      <c r="C18" s="1"/>
      <c r="D18" s="1"/>
      <c r="E18" s="1"/>
      <c r="F18" s="1"/>
      <c r="G18" s="1"/>
    </row>
    <row r="19" spans="1:7" x14ac:dyDescent="0.25">
      <c r="A19" s="1"/>
      <c r="B19" s="66" t="s">
        <v>254</v>
      </c>
      <c r="C19" s="67"/>
      <c r="D19" s="67"/>
      <c r="E19" s="67"/>
      <c r="F19" s="68"/>
      <c r="G19" s="1"/>
    </row>
    <row r="20" spans="1:7" x14ac:dyDescent="0.25">
      <c r="A20" s="1"/>
      <c r="B20" s="62" t="s">
        <v>255</v>
      </c>
      <c r="C20" s="63"/>
      <c r="D20" s="64"/>
      <c r="E20" s="9">
        <v>25569140.473772481</v>
      </c>
      <c r="F20" s="14" t="s">
        <v>3</v>
      </c>
      <c r="G20" s="1"/>
    </row>
    <row r="21" spans="1:7" x14ac:dyDescent="0.25">
      <c r="A21" s="1"/>
      <c r="B21" s="62" t="s">
        <v>256</v>
      </c>
      <c r="C21" s="63"/>
      <c r="D21" s="64"/>
      <c r="E21" s="9">
        <v>25986538</v>
      </c>
      <c r="F21" s="14" t="s">
        <v>3</v>
      </c>
      <c r="G21" s="1"/>
    </row>
    <row r="22" spans="1:7" x14ac:dyDescent="0.25">
      <c r="A22" s="1"/>
      <c r="B22" s="62" t="s">
        <v>29</v>
      </c>
      <c r="C22" s="63"/>
      <c r="D22" s="64"/>
      <c r="E22" s="9">
        <v>0</v>
      </c>
      <c r="F22" s="14" t="s">
        <v>3</v>
      </c>
      <c r="G22" s="1"/>
    </row>
    <row r="23" spans="1:7" x14ac:dyDescent="0.25">
      <c r="A23" s="1"/>
      <c r="B23" s="70" t="s">
        <v>257</v>
      </c>
      <c r="C23" s="71"/>
      <c r="D23" s="72"/>
      <c r="E23" s="10">
        <f>E20-(E21-E22)</f>
        <v>-417397.52622751892</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99" t="s">
        <v>258</v>
      </c>
      <c r="C26" s="100"/>
      <c r="D26" s="100"/>
      <c r="E26" s="100"/>
      <c r="F26" s="101"/>
      <c r="G26" s="1"/>
    </row>
    <row r="27" spans="1:7" x14ac:dyDescent="0.25">
      <c r="A27" s="1"/>
      <c r="B27" s="124" t="s">
        <v>259</v>
      </c>
      <c r="C27" s="125"/>
      <c r="D27" s="126"/>
      <c r="E27" s="59">
        <f>IF(AND(E15&lt;0,E23&gt;0,ABS(SUM(E14:E15))&lt;E23),ABS(E14),IF(AND(E15&lt;0,E23&gt;0,ABS(SUM(E14:E15))&gt;E23),SUM(E14,E23),0))</f>
        <v>0</v>
      </c>
      <c r="F27" s="17" t="s">
        <v>3</v>
      </c>
      <c r="G27" s="1"/>
    </row>
    <row r="28" spans="1:7" x14ac:dyDescent="0.25">
      <c r="A28" s="1"/>
      <c r="B28" s="99"/>
      <c r="C28" s="100"/>
      <c r="D28" s="100"/>
      <c r="E28" s="100"/>
      <c r="F28" s="101"/>
      <c r="G28" s="1"/>
    </row>
    <row r="29" spans="1:7" x14ac:dyDescent="0.25">
      <c r="A29" s="1"/>
      <c r="B29" s="1"/>
      <c r="C29" s="1"/>
      <c r="D29" s="1"/>
      <c r="E29" s="1"/>
      <c r="F29" s="1"/>
      <c r="G29" s="1"/>
    </row>
    <row r="30" spans="1:7" x14ac:dyDescent="0.25">
      <c r="A30" s="1"/>
      <c r="B30" s="99" t="s">
        <v>260</v>
      </c>
      <c r="C30" s="100"/>
      <c r="D30" s="100"/>
      <c r="E30" s="100"/>
      <c r="F30" s="101"/>
      <c r="G30" s="1"/>
    </row>
    <row r="31" spans="1:7" x14ac:dyDescent="0.25">
      <c r="A31" s="1"/>
      <c r="B31" s="127" t="s">
        <v>117</v>
      </c>
      <c r="C31" s="128"/>
      <c r="D31" s="129"/>
      <c r="E31" s="60">
        <f>IF(AND(E9&gt;0,(E9+E23)&gt;0),0,IF(AND(E9&gt;0,(E9+E23)&lt;0),(E9+E23),IF(AND(E9&lt;0,E23&lt;0),E23,0)))</f>
        <v>-417397.52622751892</v>
      </c>
      <c r="F31" s="14" t="s">
        <v>3</v>
      </c>
      <c r="G31" s="1"/>
    </row>
    <row r="32" spans="1:7" x14ac:dyDescent="0.25">
      <c r="A32" s="1"/>
      <c r="B32" s="127" t="s">
        <v>85</v>
      </c>
      <c r="C32" s="128"/>
      <c r="D32" s="129"/>
      <c r="E32" s="9">
        <v>2</v>
      </c>
      <c r="F32" s="14" t="s">
        <v>18</v>
      </c>
      <c r="G32" s="1"/>
    </row>
    <row r="33" spans="1:7" x14ac:dyDescent="0.25">
      <c r="A33" s="1"/>
      <c r="B33" s="120" t="s">
        <v>116</v>
      </c>
      <c r="C33" s="120"/>
      <c r="D33" s="120"/>
      <c r="E33" s="59">
        <f>E31/E32</f>
        <v>-208698.76311375946</v>
      </c>
      <c r="F33" s="17" t="s">
        <v>3</v>
      </c>
      <c r="G33" s="1"/>
    </row>
    <row r="34" spans="1:7" x14ac:dyDescent="0.25">
      <c r="A34" s="1"/>
      <c r="B34" s="121"/>
      <c r="C34" s="122"/>
      <c r="D34" s="122"/>
      <c r="E34" s="122"/>
      <c r="F34" s="12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Q/fcKEaYfybVZrvgsMLjeZzVIYMD8hiQtsylxtjk8hD13sk+Tm3V4RpI3aDEwEVEcDp900CPtfSnQwfDd+zww==" saltValue="MPTgHqUh+Dfb3IcU3kLTE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5" t="s">
        <v>183</v>
      </c>
      <c r="C3" s="95"/>
      <c r="D3" s="95"/>
      <c r="E3" s="95"/>
      <c r="F3" s="95"/>
      <c r="G3" s="95"/>
      <c r="H3" s="95"/>
      <c r="I3" s="1"/>
    </row>
    <row r="4" spans="1:9" ht="15" customHeight="1" x14ac:dyDescent="0.25">
      <c r="A4" s="1"/>
      <c r="B4" s="95"/>
      <c r="C4" s="95"/>
      <c r="D4" s="95"/>
      <c r="E4" s="95"/>
      <c r="F4" s="95"/>
      <c r="G4" s="95"/>
      <c r="H4" s="9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9" t="s">
        <v>184</v>
      </c>
      <c r="C8" s="100"/>
      <c r="D8" s="100"/>
      <c r="E8" s="100"/>
      <c r="F8" s="100"/>
      <c r="G8" s="100"/>
      <c r="H8" s="101"/>
      <c r="I8" s="1"/>
    </row>
    <row r="9" spans="1:9" ht="15" customHeight="1" x14ac:dyDescent="0.25">
      <c r="A9" s="1"/>
      <c r="B9" s="130" t="s">
        <v>234</v>
      </c>
      <c r="C9" s="131"/>
      <c r="D9" s="131"/>
      <c r="E9" s="131"/>
      <c r="F9" s="131"/>
      <c r="G9" s="131"/>
      <c r="H9" s="132"/>
      <c r="I9" s="1"/>
    </row>
    <row r="10" spans="1:9" x14ac:dyDescent="0.25">
      <c r="A10" s="1"/>
      <c r="B10" s="133" t="s">
        <v>185</v>
      </c>
      <c r="C10" s="134"/>
      <c r="D10" s="134"/>
      <c r="E10" s="134"/>
      <c r="F10" s="135"/>
      <c r="G10" s="45"/>
      <c r="H10" s="9" t="s">
        <v>3</v>
      </c>
      <c r="I10" s="1"/>
    </row>
    <row r="11" spans="1:9" x14ac:dyDescent="0.25">
      <c r="A11" s="1"/>
      <c r="B11" s="133" t="s">
        <v>186</v>
      </c>
      <c r="C11" s="134"/>
      <c r="D11" s="134"/>
      <c r="E11" s="134"/>
      <c r="F11" s="135"/>
      <c r="G11" s="45"/>
      <c r="H11" s="9" t="s">
        <v>3</v>
      </c>
      <c r="I11" s="1"/>
    </row>
    <row r="12" spans="1:9" x14ac:dyDescent="0.25">
      <c r="A12" s="1"/>
      <c r="B12" s="133" t="s">
        <v>187</v>
      </c>
      <c r="C12" s="134"/>
      <c r="D12" s="134"/>
      <c r="E12" s="134"/>
      <c r="F12" s="135"/>
      <c r="G12" s="9"/>
      <c r="H12" s="9" t="s">
        <v>3</v>
      </c>
      <c r="I12" s="1"/>
    </row>
    <row r="13" spans="1:9" x14ac:dyDescent="0.25">
      <c r="A13" s="1"/>
      <c r="B13" s="133" t="s">
        <v>188</v>
      </c>
      <c r="C13" s="134"/>
      <c r="D13" s="134"/>
      <c r="E13" s="134"/>
      <c r="F13" s="135"/>
      <c r="G13" s="9"/>
      <c r="H13" s="9" t="s">
        <v>3</v>
      </c>
      <c r="I13" s="1"/>
    </row>
    <row r="14" spans="1:9" x14ac:dyDescent="0.25">
      <c r="A14" s="1"/>
      <c r="B14" s="133" t="s">
        <v>189</v>
      </c>
      <c r="C14" s="134"/>
      <c r="D14" s="134"/>
      <c r="E14" s="134"/>
      <c r="F14" s="135"/>
      <c r="G14" s="9"/>
      <c r="H14" s="9" t="s">
        <v>3</v>
      </c>
      <c r="I14" s="1"/>
    </row>
    <row r="15" spans="1:9" x14ac:dyDescent="0.25">
      <c r="A15" s="1"/>
      <c r="B15" s="133" t="s">
        <v>190</v>
      </c>
      <c r="C15" s="134"/>
      <c r="D15" s="134"/>
      <c r="E15" s="134"/>
      <c r="F15" s="135"/>
      <c r="G15" s="9"/>
      <c r="H15" s="9" t="s">
        <v>3</v>
      </c>
      <c r="I15" s="1"/>
    </row>
    <row r="16" spans="1:9" x14ac:dyDescent="0.25">
      <c r="A16" s="1"/>
      <c r="B16" s="133" t="s">
        <v>191</v>
      </c>
      <c r="C16" s="134"/>
      <c r="D16" s="134"/>
      <c r="E16" s="134"/>
      <c r="F16" s="135"/>
      <c r="G16" s="9"/>
      <c r="H16" s="9" t="s">
        <v>3</v>
      </c>
      <c r="I16" s="1"/>
    </row>
    <row r="17" spans="1:9" x14ac:dyDescent="0.25">
      <c r="A17" s="1"/>
      <c r="B17" s="133" t="s">
        <v>192</v>
      </c>
      <c r="C17" s="134"/>
      <c r="D17" s="134"/>
      <c r="E17" s="134"/>
      <c r="F17" s="135"/>
      <c r="G17" s="9"/>
      <c r="H17" s="9" t="s">
        <v>3</v>
      </c>
      <c r="I17" s="1"/>
    </row>
    <row r="18" spans="1:9" x14ac:dyDescent="0.25">
      <c r="A18" s="1"/>
      <c r="B18" s="99" t="s">
        <v>193</v>
      </c>
      <c r="C18" s="100"/>
      <c r="D18" s="100"/>
      <c r="E18" s="100"/>
      <c r="F18" s="10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7xKpeDKBtkNEqw+No/Jm/T53qz7B/CTZkY4llm+s36eoGcSI3zI8921v0a7QO/9sJM8vXP/+wolyw6qrvByn+Q==" saltValue="CxWCACRKG2xvgv2UfSfJs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177</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155</v>
      </c>
      <c r="C8" s="100"/>
      <c r="D8" s="100"/>
      <c r="E8" s="100"/>
      <c r="F8" s="100"/>
      <c r="G8" s="100"/>
      <c r="H8" s="100"/>
      <c r="I8" s="100"/>
      <c r="J8" s="100"/>
      <c r="K8" s="101"/>
      <c r="L8" s="1"/>
    </row>
    <row r="9" spans="1:12" ht="39.75" customHeight="1" x14ac:dyDescent="0.25">
      <c r="A9" s="1"/>
      <c r="B9" s="18" t="s">
        <v>0</v>
      </c>
      <c r="C9" s="18" t="s">
        <v>1</v>
      </c>
      <c r="D9" s="136" t="s">
        <v>170</v>
      </c>
      <c r="E9" s="137"/>
      <c r="F9" s="136" t="s">
        <v>2</v>
      </c>
      <c r="G9" s="137"/>
      <c r="H9" s="136" t="s">
        <v>171</v>
      </c>
      <c r="I9" s="137"/>
      <c r="J9" s="136" t="s">
        <v>26</v>
      </c>
      <c r="K9" s="137"/>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gVHrV0zRyP3xA90gBXOG7XO/gpwCSBf4P7zrXy52c8mfOL/5HNIZsFPodNp1ymQyB1yG+08Qy7pH6Pkgda6VHQ==" saltValue="H4RQOk+loRa2bKi6BrZ2+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178</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52853</v>
      </c>
      <c r="D11" s="14" t="s">
        <v>3</v>
      </c>
      <c r="E11" s="9">
        <v>24837.3</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52853</v>
      </c>
      <c r="D17" s="13" t="s">
        <v>3</v>
      </c>
      <c r="E17" s="12">
        <f>SUM(E10:E16)</f>
        <v>24837.3</v>
      </c>
      <c r="F17" s="13" t="s">
        <v>3</v>
      </c>
      <c r="G17" s="1"/>
    </row>
    <row r="18" spans="1:7" x14ac:dyDescent="0.25">
      <c r="A18" s="1"/>
      <c r="B18" s="51" t="s">
        <v>209</v>
      </c>
      <c r="C18" s="12">
        <f>C17*(1+'Fane 13. Nøgletal'!C16)</f>
        <v>57123.522400000002</v>
      </c>
      <c r="D18" s="13" t="s">
        <v>3</v>
      </c>
      <c r="E18" s="12">
        <f>E17*(1+'Fane 13. Nøgletal'!C16)</f>
        <v>26844.153839999999</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s+SNfRNdm2fqE9OZxReZ3NSsW2gxPflmgTjW56KkbqtiJBJSA/7K4M3NhaDkz4z8B84aFw+JFvoj5kKz3o06BQ==" saltValue="JcrSJvX5eEvx0yR6zXCiU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179</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9" t="s">
        <v>217</v>
      </c>
      <c r="C9" s="100"/>
      <c r="D9" s="100"/>
      <c r="E9" s="100"/>
      <c r="F9" s="101"/>
      <c r="G9" s="1"/>
    </row>
    <row r="10" spans="1:7" ht="26.25" x14ac:dyDescent="0.25">
      <c r="A10" s="1"/>
      <c r="B10" s="73" t="s">
        <v>15</v>
      </c>
      <c r="C10" s="73" t="s">
        <v>10</v>
      </c>
      <c r="D10" s="74"/>
      <c r="E10" s="73" t="s">
        <v>27</v>
      </c>
      <c r="F10" s="30"/>
      <c r="G10" s="1"/>
    </row>
    <row r="11" spans="1:7" x14ac:dyDescent="0.25">
      <c r="A11" s="1"/>
      <c r="B11" s="23" t="s">
        <v>247</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7uqkJ1VkYu33T2YSr0WPZ1JfBtGQ9h8v+cvuDHtWQoNnCecGAFvdSZ+DiG62iSiJvUhUX3GlNGvmwwn8op1Qg==" saltValue="9Q9BEACfzgmH9FlRPDJkw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180</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104</v>
      </c>
      <c r="C8" s="100"/>
      <c r="D8" s="100"/>
      <c r="E8" s="100"/>
      <c r="F8" s="101"/>
      <c r="G8" s="1"/>
    </row>
    <row r="9" spans="1:7" ht="15" customHeight="1" x14ac:dyDescent="0.25">
      <c r="A9" s="1"/>
      <c r="B9" s="53" t="s">
        <v>105</v>
      </c>
      <c r="C9" s="130" t="s">
        <v>10</v>
      </c>
      <c r="D9" s="132"/>
      <c r="E9" s="130" t="s">
        <v>27</v>
      </c>
      <c r="F9" s="132"/>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7Cwu9iEzLGrkCo+Us44NlzjchW9gEJllKZ++xUzR4UD88chBPcoKW5LP6IXdEKDD3KWNUvJ4lJllx/3m2vJPOQ==" saltValue="L0CSVHydOKeNZxSWNMZ8O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181</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9" t="s">
        <v>237</v>
      </c>
      <c r="C10" s="100"/>
      <c r="D10" s="100"/>
      <c r="E10" s="100"/>
      <c r="F10" s="101"/>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uilaL9d69NU7+UreHE2MkjP5XOyA09w43mJ22pbpEivTULruGucHpnhP2Ukdz9SzwFO3ivHpj2qwzxv833Nww==" saltValue="K3VfXO7+FkjlGw3QKz7Di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8" t="s">
        <v>182</v>
      </c>
      <c r="C3" s="98"/>
      <c r="D3" s="1"/>
    </row>
    <row r="4" spans="1:4" ht="25.5" customHeight="1" x14ac:dyDescent="0.25">
      <c r="A4" s="1"/>
      <c r="B4" s="98"/>
      <c r="C4" s="98"/>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9"/>
      <c r="C17" s="101"/>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5"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mTaefVzH+VfK3xrCnhp0gVooH+bsu6yiKMYyuZ+m1QWVNztxcJY3EhoZNVmBjitkXetfBq22cfPDRJluTm1vTg==" saltValue="9Z4uvHCEDKBXse+6h1Pd+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17692519.80139285</v>
      </c>
      <c r="D8" s="8" t="s">
        <v>3</v>
      </c>
      <c r="E8" s="1"/>
    </row>
    <row r="9" spans="1:5" ht="17.100000000000001" customHeight="1" x14ac:dyDescent="0.25">
      <c r="A9" s="1"/>
      <c r="B9" s="24" t="s">
        <v>33</v>
      </c>
      <c r="C9" s="7">
        <f>'Fane 10.1. Varige tillæg'!C18</f>
        <v>57123.522400000002</v>
      </c>
      <c r="D9" s="8" t="s">
        <v>3</v>
      </c>
      <c r="E9" s="1"/>
    </row>
    <row r="10" spans="1:5" ht="17.100000000000001" customHeight="1" x14ac:dyDescent="0.25">
      <c r="A10" s="1"/>
      <c r="B10" s="24" t="s">
        <v>34</v>
      </c>
      <c r="C10" s="9">
        <f>'Fane 10.1. Varige tillæg'!E18</f>
        <v>26844.153839999999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636638.29316977749</v>
      </c>
      <c r="D15" s="8" t="s">
        <v>3</v>
      </c>
      <c r="E15" s="1"/>
    </row>
    <row r="16" spans="1:5" ht="17.100000000000001" customHeight="1" x14ac:dyDescent="0.25">
      <c r="A16" s="1"/>
      <c r="B16" s="24" t="s">
        <v>9</v>
      </c>
      <c r="C16" s="9">
        <f>-SUM(C8,C9:C15)*'Fane 5. Individuelt eff. krav'!G9</f>
        <v>-325665.27885683777</v>
      </c>
      <c r="D16" s="8" t="s">
        <v>3</v>
      </c>
      <c r="E16" s="1"/>
    </row>
    <row r="17" spans="1:5" ht="17.100000000000001" customHeight="1" x14ac:dyDescent="0.25">
      <c r="A17" s="1"/>
      <c r="B17" s="24" t="s">
        <v>22</v>
      </c>
      <c r="C17" s="9">
        <f>-'Fane 4.1. Gen. krav - drift'!G49</f>
        <v>-153562.83967360228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17933897.652272191</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9773072.3381983992</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6">
        <f>SUM(C23:C26)</f>
        <v>0</v>
      </c>
      <c r="D27" s="11" t="s">
        <v>3</v>
      </c>
      <c r="E27" s="1"/>
    </row>
    <row r="28" spans="1:5" ht="15" customHeight="1" x14ac:dyDescent="0.25">
      <c r="A28" s="1"/>
      <c r="B28" s="26" t="s">
        <v>117</v>
      </c>
      <c r="C28" s="52"/>
      <c r="D28" s="19"/>
      <c r="E28" s="1"/>
    </row>
    <row r="29" spans="1:5" x14ac:dyDescent="0.25">
      <c r="A29" s="1"/>
      <c r="B29" s="69" t="s">
        <v>118</v>
      </c>
      <c r="C29" s="10">
        <f>'Fane 7. Kontrol af ØR2022'!E15</f>
        <v>-365417.78540216573</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51" t="s">
        <v>126</v>
      </c>
      <c r="C32" s="33">
        <f>SUM(C19,C21,C27,C29,C31)</f>
        <v>27341552.205068424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emb4vjXwWCfN9vlhldS2rNN3M7/OfeI+KJ+ek+XffmuDK/CCfzRRTCuOvzPHHfZ8jCLeDWob8egUxnt0KRHxA==" saltValue="e2WeBmA5W2a5SPzZPM7yQ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199</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17933897.652272191</v>
      </c>
      <c r="D8" s="8" t="s">
        <v>3</v>
      </c>
      <c r="E8" s="1"/>
    </row>
    <row r="9" spans="1:5" ht="15" customHeight="1" x14ac:dyDescent="0.25">
      <c r="A9" s="1"/>
      <c r="B9" s="29" t="s">
        <v>17</v>
      </c>
      <c r="C9" s="9">
        <f>SUM(C8:C8)*'Fane 13. Nøgletal'!C16</f>
        <v>1449058.9303035929</v>
      </c>
      <c r="D9" s="8" t="s">
        <v>3</v>
      </c>
      <c r="E9" s="1"/>
    </row>
    <row r="10" spans="1:5" ht="15" customHeight="1" x14ac:dyDescent="0.25">
      <c r="A10" s="1"/>
      <c r="B10" s="29" t="s">
        <v>9</v>
      </c>
      <c r="C10" s="9">
        <f>-SUM(C8:C9)*'Fane 5. Individuelt eff. krav'!G9</f>
        <v>-342818.27209065796</v>
      </c>
      <c r="D10" s="8" t="s">
        <v>3</v>
      </c>
      <c r="E10" s="1"/>
    </row>
    <row r="11" spans="1:5" ht="15" customHeight="1" x14ac:dyDescent="0.25">
      <c r="A11" s="1"/>
      <c r="B11" s="29" t="s">
        <v>22</v>
      </c>
      <c r="C11" s="9">
        <f>-'Fane 4.1. Gen. krav - drift'!G54</f>
        <v>-162651.30277684476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18877487.007708281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10562736.583124829</v>
      </c>
      <c r="D15" s="11" t="s">
        <v>3</v>
      </c>
      <c r="E15" s="1"/>
    </row>
    <row r="16" spans="1:5" x14ac:dyDescent="0.25">
      <c r="A16" s="1"/>
      <c r="B16" s="26" t="s">
        <v>117</v>
      </c>
      <c r="C16" s="52"/>
      <c r="D16" s="19"/>
      <c r="E16" s="1"/>
    </row>
    <row r="17" spans="1:5" ht="15" customHeight="1" x14ac:dyDescent="0.25">
      <c r="A17" s="1"/>
      <c r="B17" s="69" t="s">
        <v>118</v>
      </c>
      <c r="C17" s="10">
        <f>'Fane 7. Kontrol af ØR2022'!E33</f>
        <v>-208698.76311375946</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29231524.827719353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J220Md0I6e2KzHm6XtWDaNSeDSVfEAHb917yd4qvikOVtao4VSEorkOluqMLBr/Bk7wxJy2Nynd/9nQ7h+/pA==" saltValue="8GGpXzJc8AjMiNObRFum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18877487.007708281</v>
      </c>
      <c r="D8" s="8" t="s">
        <v>3</v>
      </c>
      <c r="E8" s="1"/>
    </row>
    <row r="9" spans="1:5" ht="15" customHeight="1" x14ac:dyDescent="0.25">
      <c r="A9" s="1"/>
      <c r="B9" s="29" t="s">
        <v>17</v>
      </c>
      <c r="C9" s="9">
        <f>SUM(C8:C8)*'Fane 13. Nøgletal'!C16</f>
        <v>1525300.9502228291</v>
      </c>
      <c r="D9" s="8" t="s">
        <v>3</v>
      </c>
      <c r="E9" s="1"/>
    </row>
    <row r="10" spans="1:5" ht="15" customHeight="1" x14ac:dyDescent="0.25">
      <c r="A10" s="1"/>
      <c r="B10" s="29" t="s">
        <v>9</v>
      </c>
      <c r="C10" s="9">
        <f>-SUM(C8:C9)*'Fane 5. Individuelt eff. krav'!G9</f>
        <v>-360855.6044467258</v>
      </c>
      <c r="D10" s="8" t="s">
        <v>3</v>
      </c>
      <c r="E10" s="1"/>
    </row>
    <row r="11" spans="1:5" ht="15" customHeight="1" x14ac:dyDescent="0.25">
      <c r="A11" s="1"/>
      <c r="B11" s="29" t="s">
        <v>22</v>
      </c>
      <c r="C11" s="9">
        <f>-'Fane 4.1. Gen. krav - drift'!G59</f>
        <v>-172277.65748038952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19869654.696003996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11416205.699041316</v>
      </c>
      <c r="D15" s="11" t="s">
        <v>3</v>
      </c>
      <c r="E15" s="1"/>
    </row>
    <row r="16" spans="1:5" x14ac:dyDescent="0.25">
      <c r="A16" s="1"/>
      <c r="B16" s="51" t="s">
        <v>117</v>
      </c>
      <c r="C16" s="52"/>
      <c r="D16" s="19"/>
      <c r="E16" s="1"/>
    </row>
    <row r="17" spans="1:5" x14ac:dyDescent="0.25">
      <c r="A17" s="1"/>
      <c r="B17" s="53" t="s">
        <v>118</v>
      </c>
      <c r="C17" s="10">
        <f>'Fane 7. Kontrol af ØR2022'!E33</f>
        <v>-208698.76311375946</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31077161.631931551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GfW7zy278nvToMTGRGiJ4zs1/TOidKnhYsMQFtmJ0Mr/ZIc7A5Dg20X5fu0qnI/eDHIwCrZfQESLf/vNIV5Uw==" saltValue="iV/vS6/tRdi8IAxVojue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204</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19869654.696003996</v>
      </c>
      <c r="D8" s="8" t="s">
        <v>3</v>
      </c>
      <c r="E8" s="1"/>
    </row>
    <row r="9" spans="1:5" ht="15" customHeight="1" x14ac:dyDescent="0.25">
      <c r="A9" s="1"/>
      <c r="B9" s="29" t="s">
        <v>17</v>
      </c>
      <c r="C9" s="9">
        <f>SUM(C8:C8)*'Fane 13. Nøgletal'!C16</f>
        <v>1605468.0994371227</v>
      </c>
      <c r="D9" s="8" t="s">
        <v>3</v>
      </c>
      <c r="E9" s="1"/>
    </row>
    <row r="10" spans="1:5" ht="15" customHeight="1" x14ac:dyDescent="0.25">
      <c r="A10" s="1"/>
      <c r="B10" s="29" t="s">
        <v>9</v>
      </c>
      <c r="C10" s="9">
        <f>-SUM(C8:C9)*'Fane 5. Individuelt eff. krav'!G9</f>
        <v>-379821.543648605</v>
      </c>
      <c r="D10" s="8" t="s">
        <v>3</v>
      </c>
      <c r="E10" s="1"/>
    </row>
    <row r="11" spans="1:5" ht="15" customHeight="1" x14ac:dyDescent="0.25">
      <c r="A11" s="1"/>
      <c r="B11" s="29" t="s">
        <v>22</v>
      </c>
      <c r="C11" s="9">
        <f>-'Fane 4.1. Gen. krav - drift'!G64</f>
        <v>-182473.73836070893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20912827.513431802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12338635.119523853</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33251462.632955655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1upGbR80/0PrebA+lyQFKVMxjK/PwydWqMkEB6PfHLYhelyrR/nGKOZQ58AmBkXypxEkO175VFoqj1EL4hejA==" saltValue="+s/+5F2IDSNsE5Zow02X5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7109375" style="2" customWidth="1"/>
    <col min="2" max="2" width="56.85546875" style="2" customWidth="1"/>
    <col min="3" max="3" width="12.85546875" style="2" bestFit="1" customWidth="1"/>
    <col min="4" max="4" width="3" style="2" customWidth="1"/>
    <col min="5" max="5" width="6.140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8" t="s">
        <v>201</v>
      </c>
      <c r="C3" s="98"/>
      <c r="D3" s="98"/>
      <c r="E3" s="1"/>
    </row>
    <row r="4" spans="1:5"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17435648.277980302</v>
      </c>
      <c r="D8" s="8" t="s">
        <v>3</v>
      </c>
      <c r="E8" s="1"/>
    </row>
    <row r="9" spans="1:5" x14ac:dyDescent="0.25">
      <c r="A9" s="1"/>
      <c r="B9" s="24" t="s">
        <v>33</v>
      </c>
      <c r="C9" s="7">
        <v>79242.040800000002</v>
      </c>
      <c r="D9" s="8" t="s">
        <v>3</v>
      </c>
      <c r="E9" s="1"/>
    </row>
    <row r="10" spans="1:5" x14ac:dyDescent="0.25">
      <c r="A10" s="1"/>
      <c r="B10" s="24" t="s">
        <v>34</v>
      </c>
      <c r="C10" s="9">
        <v>24574.788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624404.95780137868</v>
      </c>
      <c r="D15" s="8" t="s">
        <v>3</v>
      </c>
      <c r="E15" s="1"/>
    </row>
    <row r="16" spans="1:5" x14ac:dyDescent="0.25">
      <c r="A16" s="1"/>
      <c r="B16" s="24" t="s">
        <v>9</v>
      </c>
      <c r="C16" s="9">
        <v>-321256.79709857923</v>
      </c>
      <c r="D16" s="8" t="s">
        <v>3</v>
      </c>
      <c r="E16" s="1"/>
    </row>
    <row r="17" spans="1:5" x14ac:dyDescent="0.25">
      <c r="A17" s="1"/>
      <c r="B17" s="24" t="s">
        <v>22</v>
      </c>
      <c r="C17" s="9">
        <v>-150093.46609025222</v>
      </c>
      <c r="D17" s="8" t="s">
        <v>3</v>
      </c>
      <c r="E17" s="1"/>
    </row>
    <row r="18" spans="1:5" x14ac:dyDescent="0.25">
      <c r="A18" s="1"/>
      <c r="B18" s="24" t="s">
        <v>23</v>
      </c>
      <c r="C18" s="9">
        <v>0</v>
      </c>
      <c r="D18" s="8" t="s">
        <v>3</v>
      </c>
      <c r="E18" s="1"/>
    </row>
    <row r="19" spans="1:5" x14ac:dyDescent="0.25">
      <c r="A19" s="1"/>
      <c r="B19" s="70" t="s">
        <v>19</v>
      </c>
      <c r="C19" s="10">
        <v>17692519.80139285</v>
      </c>
      <c r="D19" s="11" t="s">
        <v>3</v>
      </c>
      <c r="E19" s="1"/>
    </row>
    <row r="20" spans="1:5" x14ac:dyDescent="0.25">
      <c r="A20" s="1"/>
      <c r="B20" s="51" t="s">
        <v>11</v>
      </c>
      <c r="C20" s="52"/>
      <c r="D20" s="19"/>
      <c r="E20" s="1"/>
    </row>
    <row r="21" spans="1:5" x14ac:dyDescent="0.25">
      <c r="A21" s="1"/>
      <c r="B21" s="53" t="s">
        <v>11</v>
      </c>
      <c r="C21" s="10">
        <v>9099270.8327585962</v>
      </c>
      <c r="D21" s="11" t="s">
        <v>3</v>
      </c>
      <c r="E21" s="1"/>
    </row>
    <row r="22" spans="1:5" x14ac:dyDescent="0.25">
      <c r="A22" s="1"/>
      <c r="B22" s="51" t="s">
        <v>75</v>
      </c>
      <c r="C22" s="52"/>
      <c r="D22" s="19"/>
      <c r="E22" s="1"/>
    </row>
    <row r="23" spans="1:5" x14ac:dyDescent="0.25">
      <c r="A23" s="1"/>
      <c r="B23" s="24" t="s">
        <v>71</v>
      </c>
      <c r="C23" s="9">
        <v>202294.15578000003</v>
      </c>
      <c r="D23" s="8" t="s">
        <v>3</v>
      </c>
      <c r="E23" s="1"/>
    </row>
    <row r="24" spans="1:5" x14ac:dyDescent="0.25">
      <c r="A24" s="1"/>
      <c r="B24" s="24" t="s">
        <v>72</v>
      </c>
      <c r="C24" s="9">
        <v>0</v>
      </c>
      <c r="D24" s="8" t="s">
        <v>3</v>
      </c>
      <c r="E24" s="1"/>
    </row>
    <row r="25" spans="1:5" x14ac:dyDescent="0.25">
      <c r="A25" s="1"/>
      <c r="B25" s="24" t="s">
        <v>164</v>
      </c>
      <c r="C25" s="9">
        <v>-7623.7755100389368</v>
      </c>
      <c r="D25" s="8" t="s">
        <v>3</v>
      </c>
      <c r="E25" s="1"/>
    </row>
    <row r="26" spans="1:5" x14ac:dyDescent="0.25">
      <c r="A26" s="1"/>
      <c r="B26" s="24" t="s">
        <v>165</v>
      </c>
      <c r="C26" s="9">
        <v>0</v>
      </c>
      <c r="D26" s="8" t="s">
        <v>3</v>
      </c>
      <c r="E26" s="1"/>
    </row>
    <row r="27" spans="1:5" x14ac:dyDescent="0.25">
      <c r="A27" s="1"/>
      <c r="B27" s="70" t="s">
        <v>76</v>
      </c>
      <c r="C27" s="56">
        <v>194670.38026996108</v>
      </c>
      <c r="D27" s="11" t="s">
        <v>3</v>
      </c>
      <c r="E27" s="1"/>
    </row>
    <row r="28" spans="1:5" x14ac:dyDescent="0.25">
      <c r="A28" s="1"/>
      <c r="B28" s="26" t="s">
        <v>117</v>
      </c>
      <c r="C28" s="52"/>
      <c r="D28" s="19"/>
      <c r="E28" s="1"/>
    </row>
    <row r="29" spans="1:5" x14ac:dyDescent="0.25">
      <c r="A29" s="1"/>
      <c r="B29" s="69" t="s">
        <v>118</v>
      </c>
      <c r="C29" s="10">
        <v>-365417.78540216573</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26621043.22901924</v>
      </c>
      <c r="D32" s="19" t="s">
        <v>3</v>
      </c>
      <c r="E32" s="1"/>
    </row>
    <row r="33" spans="1:5" ht="30" customHeight="1" x14ac:dyDescent="0.25">
      <c r="A33" s="1"/>
      <c r="B33" s="97" t="s">
        <v>240</v>
      </c>
      <c r="C33" s="97"/>
      <c r="D33" s="97"/>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K/bbQKxzKxiD8U4C/PEUaDt35NFpfrb68Kr0px23eAMUu38VFepPBHN/a4DgaK2qqGxJcLzye6I1FpSr36GPw==" saltValue="CPeazA3hhPNdUfwb4OHnB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8" t="s">
        <v>90</v>
      </c>
      <c r="C1" s="98"/>
      <c r="D1" s="98"/>
      <c r="E1" s="98"/>
      <c r="F1" s="98"/>
      <c r="G1" s="98"/>
      <c r="H1" s="98"/>
      <c r="I1" s="1"/>
    </row>
    <row r="2" spans="1:9" ht="15" customHeight="1" x14ac:dyDescent="0.25">
      <c r="A2" s="1"/>
      <c r="B2" s="98"/>
      <c r="C2" s="98"/>
      <c r="D2" s="98"/>
      <c r="E2" s="98"/>
      <c r="F2" s="98"/>
      <c r="G2" s="98"/>
      <c r="H2" s="98"/>
      <c r="I2" s="1"/>
    </row>
    <row r="3" spans="1:9" ht="15" customHeight="1" x14ac:dyDescent="0.25">
      <c r="A3" s="1"/>
      <c r="B3" s="98"/>
      <c r="C3" s="98"/>
      <c r="D3" s="98"/>
      <c r="E3" s="98"/>
      <c r="F3" s="98"/>
      <c r="G3" s="98"/>
      <c r="H3" s="98"/>
      <c r="I3" s="1"/>
    </row>
    <row r="4" spans="1:9" x14ac:dyDescent="0.25">
      <c r="A4" s="1"/>
      <c r="B4" s="99" t="s">
        <v>44</v>
      </c>
      <c r="C4" s="100"/>
      <c r="D4" s="100"/>
      <c r="E4" s="100"/>
      <c r="F4" s="100"/>
      <c r="G4" s="100"/>
      <c r="H4" s="101"/>
      <c r="I4" s="1"/>
    </row>
    <row r="5" spans="1:9" x14ac:dyDescent="0.25">
      <c r="A5" s="1"/>
      <c r="B5" s="102" t="s">
        <v>36</v>
      </c>
      <c r="C5" s="103"/>
      <c r="D5" s="103"/>
      <c r="E5" s="103"/>
      <c r="F5" s="104"/>
      <c r="G5" s="47">
        <v>7399236.2792917136</v>
      </c>
      <c r="H5" s="14" t="s">
        <v>3</v>
      </c>
      <c r="I5" s="1"/>
    </row>
    <row r="6" spans="1:9" x14ac:dyDescent="0.25">
      <c r="A6" s="1"/>
      <c r="B6" s="102" t="s">
        <v>37</v>
      </c>
      <c r="C6" s="103"/>
      <c r="D6" s="103"/>
      <c r="E6" s="103"/>
      <c r="F6" s="104"/>
      <c r="G6" s="22">
        <f>G5*'Fane 13. Nøgletal'!C33</f>
        <v>147984.72558583427</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99" t="s">
        <v>45</v>
      </c>
      <c r="C9" s="100"/>
      <c r="D9" s="100"/>
      <c r="E9" s="100"/>
      <c r="F9" s="100"/>
      <c r="G9" s="100"/>
      <c r="H9" s="101"/>
      <c r="I9" s="1"/>
    </row>
    <row r="10" spans="1:9" x14ac:dyDescent="0.25">
      <c r="A10" s="1"/>
      <c r="B10" s="102" t="s">
        <v>38</v>
      </c>
      <c r="C10" s="103"/>
      <c r="D10" s="103"/>
      <c r="E10" s="103"/>
      <c r="F10" s="104"/>
      <c r="G10" s="22">
        <f>(G5-G6)*(1+'Fane 13. Nøgletal'!C9)</f>
        <v>7343342.4484379441</v>
      </c>
      <c r="H10" s="14" t="s">
        <v>3</v>
      </c>
      <c r="I10" s="1"/>
    </row>
    <row r="11" spans="1:9" x14ac:dyDescent="0.25">
      <c r="A11" s="1"/>
      <c r="B11" s="105" t="s">
        <v>228</v>
      </c>
      <c r="C11" s="106"/>
      <c r="D11" s="106"/>
      <c r="E11" s="106"/>
      <c r="F11" s="107"/>
      <c r="G11" s="47">
        <v>0</v>
      </c>
      <c r="H11" s="14" t="s">
        <v>3</v>
      </c>
      <c r="I11" s="1"/>
    </row>
    <row r="12" spans="1:9" x14ac:dyDescent="0.25">
      <c r="A12" s="1"/>
      <c r="B12" s="102" t="s">
        <v>39</v>
      </c>
      <c r="C12" s="103"/>
      <c r="D12" s="103"/>
      <c r="E12" s="103"/>
      <c r="F12" s="104"/>
      <c r="G12" s="22">
        <f>(G10+G11)*'Fane 13. Nøgletal'!C33</f>
        <v>146866.84896875889</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99" t="s">
        <v>46</v>
      </c>
      <c r="C15" s="100"/>
      <c r="D15" s="100"/>
      <c r="E15" s="100"/>
      <c r="F15" s="100"/>
      <c r="G15" s="100"/>
      <c r="H15" s="101"/>
      <c r="I15" s="1"/>
    </row>
    <row r="16" spans="1:9" x14ac:dyDescent="0.25">
      <c r="A16" s="1"/>
      <c r="B16" s="102" t="s">
        <v>40</v>
      </c>
      <c r="C16" s="103"/>
      <c r="D16" s="103"/>
      <c r="E16" s="103"/>
      <c r="F16" s="104"/>
      <c r="G16" s="22">
        <f>(G10+G11-G12)*(1+'Fane 13. Nøgletal'!C11)</f>
        <v>7318096.0371002136</v>
      </c>
      <c r="H16" s="14" t="s">
        <v>3</v>
      </c>
      <c r="I16" s="1"/>
    </row>
    <row r="17" spans="1:9" x14ac:dyDescent="0.25">
      <c r="A17" s="1"/>
      <c r="B17" s="102" t="s">
        <v>100</v>
      </c>
      <c r="C17" s="103"/>
      <c r="D17" s="103"/>
      <c r="E17" s="103"/>
      <c r="F17" s="104"/>
      <c r="G17" s="47">
        <v>0</v>
      </c>
      <c r="H17" s="14" t="s">
        <v>3</v>
      </c>
      <c r="I17" s="1"/>
    </row>
    <row r="18" spans="1:9" x14ac:dyDescent="0.25">
      <c r="A18" s="1"/>
      <c r="B18" s="105" t="s">
        <v>229</v>
      </c>
      <c r="C18" s="106"/>
      <c r="D18" s="106"/>
      <c r="E18" s="106"/>
      <c r="F18" s="107"/>
      <c r="G18" s="47">
        <v>0</v>
      </c>
      <c r="H18" s="14" t="s">
        <v>3</v>
      </c>
      <c r="I18" s="1"/>
    </row>
    <row r="19" spans="1:9" x14ac:dyDescent="0.25">
      <c r="A19" s="1"/>
      <c r="B19" s="102" t="s">
        <v>41</v>
      </c>
      <c r="C19" s="103"/>
      <c r="D19" s="103"/>
      <c r="E19" s="103"/>
      <c r="F19" s="104"/>
      <c r="G19" s="22">
        <f>SUM(G16:G18)*'Fane 13. Nøgletal'!C33</f>
        <v>146361.92074200427</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99" t="s">
        <v>47</v>
      </c>
      <c r="C22" s="100"/>
      <c r="D22" s="100"/>
      <c r="E22" s="100"/>
      <c r="F22" s="100"/>
      <c r="G22" s="100"/>
      <c r="H22" s="101"/>
      <c r="I22" s="1"/>
    </row>
    <row r="23" spans="1:9" x14ac:dyDescent="0.25">
      <c r="A23" s="1"/>
      <c r="B23" s="102" t="s">
        <v>42</v>
      </c>
      <c r="C23" s="103"/>
      <c r="D23" s="103"/>
      <c r="E23" s="103"/>
      <c r="F23" s="104"/>
      <c r="G23" s="22">
        <f>(SUM(G16:G18)-G19)*(1+'Fane 13. Nøgletal'!C11)</f>
        <v>7292936.4229246629</v>
      </c>
      <c r="H23" s="14" t="s">
        <v>3</v>
      </c>
      <c r="I23" s="1"/>
    </row>
    <row r="24" spans="1:9" x14ac:dyDescent="0.25">
      <c r="A24" s="1"/>
      <c r="B24" s="105" t="s">
        <v>230</v>
      </c>
      <c r="C24" s="106"/>
      <c r="D24" s="106"/>
      <c r="E24" s="106"/>
      <c r="F24" s="107"/>
      <c r="G24" s="47">
        <v>0</v>
      </c>
      <c r="H24" s="14" t="s">
        <v>3</v>
      </c>
      <c r="I24" s="1"/>
    </row>
    <row r="25" spans="1:9" x14ac:dyDescent="0.25">
      <c r="A25" s="1"/>
      <c r="B25" s="102" t="s">
        <v>43</v>
      </c>
      <c r="C25" s="103"/>
      <c r="D25" s="103"/>
      <c r="E25" s="103"/>
      <c r="F25" s="104"/>
      <c r="G25" s="22">
        <f>(G23+G24)*'Fane 13. Nøgletal'!C33</f>
        <v>145858.72845849325</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99" t="s">
        <v>121</v>
      </c>
      <c r="C28" s="100"/>
      <c r="D28" s="100"/>
      <c r="E28" s="100"/>
      <c r="F28" s="100"/>
      <c r="G28" s="100"/>
      <c r="H28" s="101"/>
      <c r="I28" s="1"/>
    </row>
    <row r="29" spans="1:9" x14ac:dyDescent="0.25">
      <c r="A29" s="1"/>
      <c r="B29" s="102" t="s">
        <v>50</v>
      </c>
      <c r="C29" s="103"/>
      <c r="D29" s="103"/>
      <c r="E29" s="103"/>
      <c r="F29" s="104"/>
      <c r="G29" s="22">
        <f>(G23+G24-G25)*(1+'Fane 13. Nøgletal'!C13)</f>
        <v>7234272.0423386572</v>
      </c>
      <c r="H29" s="14" t="s">
        <v>3</v>
      </c>
      <c r="I29" s="1"/>
    </row>
    <row r="30" spans="1:9" x14ac:dyDescent="0.25">
      <c r="A30" s="1"/>
      <c r="B30" s="102" t="s">
        <v>231</v>
      </c>
      <c r="C30" s="103"/>
      <c r="D30" s="103"/>
      <c r="E30" s="103"/>
      <c r="F30" s="104"/>
      <c r="G30" s="47">
        <v>0</v>
      </c>
      <c r="H30" s="14" t="s">
        <v>3</v>
      </c>
      <c r="I30" s="1"/>
    </row>
    <row r="31" spans="1:9" x14ac:dyDescent="0.25">
      <c r="A31" s="1"/>
      <c r="B31" s="102" t="s">
        <v>115</v>
      </c>
      <c r="C31" s="103"/>
      <c r="D31" s="103"/>
      <c r="E31" s="103"/>
      <c r="F31" s="104"/>
      <c r="G31" s="22">
        <f>(G29+G30)*'Fane 13. Nøgletal'!C33</f>
        <v>144685.44084677316</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99" t="s">
        <v>122</v>
      </c>
      <c r="C34" s="100"/>
      <c r="D34" s="100"/>
      <c r="E34" s="100"/>
      <c r="F34" s="100"/>
      <c r="G34" s="100"/>
      <c r="H34" s="101"/>
      <c r="I34" s="1"/>
    </row>
    <row r="35" spans="1:9" x14ac:dyDescent="0.25">
      <c r="A35" s="1"/>
      <c r="B35" s="102" t="s">
        <v>69</v>
      </c>
      <c r="C35" s="103"/>
      <c r="D35" s="103"/>
      <c r="E35" s="103"/>
      <c r="F35" s="104"/>
      <c r="G35" s="22">
        <f>(G29+G30-G31)*(1+'Fane 13. Nøgletal'!C13)</f>
        <v>7176079.5580300856</v>
      </c>
      <c r="H35" s="14" t="s">
        <v>3</v>
      </c>
      <c r="I35" s="1"/>
    </row>
    <row r="36" spans="1:9" x14ac:dyDescent="0.25">
      <c r="A36" s="1"/>
      <c r="B36" s="102" t="s">
        <v>232</v>
      </c>
      <c r="C36" s="103"/>
      <c r="D36" s="103"/>
      <c r="E36" s="103"/>
      <c r="F36" s="104"/>
      <c r="G36" s="47">
        <v>137643.97309860002</v>
      </c>
      <c r="H36" s="14" t="s">
        <v>3</v>
      </c>
      <c r="I36" s="1"/>
    </row>
    <row r="37" spans="1:9" x14ac:dyDescent="0.25">
      <c r="A37" s="1"/>
      <c r="B37" s="102" t="s">
        <v>123</v>
      </c>
      <c r="C37" s="103"/>
      <c r="D37" s="103"/>
      <c r="E37" s="103"/>
      <c r="F37" s="104"/>
      <c r="G37" s="22">
        <f>(G35+G36)*'Fane 13. Nøgletal'!C33</f>
        <v>146274.47062257372</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99" t="s">
        <v>157</v>
      </c>
      <c r="C40" s="100"/>
      <c r="D40" s="100"/>
      <c r="E40" s="100"/>
      <c r="F40" s="100"/>
      <c r="G40" s="100"/>
      <c r="H40" s="101"/>
      <c r="I40" s="1"/>
    </row>
    <row r="41" spans="1:9" x14ac:dyDescent="0.25">
      <c r="A41" s="1"/>
      <c r="B41" s="102" t="s">
        <v>68</v>
      </c>
      <c r="C41" s="103"/>
      <c r="D41" s="103"/>
      <c r="E41" s="103"/>
      <c r="F41" s="104"/>
      <c r="G41" s="22">
        <f>(G35+G36-G37)*(1+'Fane 13. Nøgletal'!C15)</f>
        <v>7422610.2470601304</v>
      </c>
      <c r="H41" s="14" t="s">
        <v>3</v>
      </c>
      <c r="I41" s="1"/>
    </row>
    <row r="42" spans="1:9" x14ac:dyDescent="0.25">
      <c r="A42" s="1"/>
      <c r="B42" s="102" t="s">
        <v>156</v>
      </c>
      <c r="C42" s="103"/>
      <c r="D42" s="103"/>
      <c r="E42" s="103"/>
      <c r="F42" s="104"/>
      <c r="G42" s="22">
        <v>82063.057452480003</v>
      </c>
      <c r="H42" s="14" t="s">
        <v>3</v>
      </c>
      <c r="I42" s="1"/>
    </row>
    <row r="43" spans="1:9" x14ac:dyDescent="0.25">
      <c r="A43" s="1"/>
      <c r="B43" s="102" t="s">
        <v>166</v>
      </c>
      <c r="C43" s="103"/>
      <c r="D43" s="103"/>
      <c r="E43" s="103"/>
      <c r="F43" s="104"/>
      <c r="G43" s="22">
        <f>(G41+G42)*'Fane 13. Nøgletal'!C33</f>
        <v>150093.46609025222</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99" t="s">
        <v>158</v>
      </c>
      <c r="C46" s="100"/>
      <c r="D46" s="100"/>
      <c r="E46" s="100"/>
      <c r="F46" s="100"/>
      <c r="G46" s="100"/>
      <c r="H46" s="101"/>
      <c r="I46" s="1"/>
    </row>
    <row r="47" spans="1:9" x14ac:dyDescent="0.25">
      <c r="A47" s="1"/>
      <c r="B47" s="102" t="s">
        <v>112</v>
      </c>
      <c r="C47" s="103"/>
      <c r="D47" s="103"/>
      <c r="E47" s="103"/>
      <c r="F47" s="104"/>
      <c r="G47" s="22">
        <f>(G41+G42-G43)*(1+'Fane 13. Nøgletal'!C15)</f>
        <v>7616402.8806701945</v>
      </c>
      <c r="H47" s="14" t="s">
        <v>3</v>
      </c>
      <c r="I47" s="1"/>
    </row>
    <row r="48" spans="1:9" x14ac:dyDescent="0.25">
      <c r="A48" s="1"/>
      <c r="B48" s="102" t="s">
        <v>206</v>
      </c>
      <c r="C48" s="103"/>
      <c r="D48" s="103"/>
      <c r="E48" s="103"/>
      <c r="F48" s="104"/>
      <c r="G48" s="22">
        <f>('Fane 2.1. Økonomisk ramme 2024'!C9+'Fane 2.1. Økonomisk ramme 2024'!C11+'Fane 2.1. Økonomisk ramme 2024'!C13)*(1+'Fane 13. Nøgletal'!C16)</f>
        <v>61739.10300992</v>
      </c>
      <c r="H48" s="14" t="s">
        <v>3</v>
      </c>
      <c r="I48" s="1"/>
    </row>
    <row r="49" spans="1:9" x14ac:dyDescent="0.25">
      <c r="A49" s="1"/>
      <c r="B49" s="102" t="s">
        <v>167</v>
      </c>
      <c r="C49" s="103"/>
      <c r="D49" s="103"/>
      <c r="E49" s="103"/>
      <c r="F49" s="104"/>
      <c r="G49" s="22">
        <f>G47*'Fane 13. Nøgletal'!C33+G48*'Fane 13. Nøgletal'!C33</f>
        <v>153562.83967360228</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99" t="s">
        <v>133</v>
      </c>
      <c r="C52" s="100"/>
      <c r="D52" s="100"/>
      <c r="E52" s="100"/>
      <c r="F52" s="100"/>
      <c r="G52" s="100"/>
      <c r="H52" s="101"/>
      <c r="I52" s="1"/>
    </row>
    <row r="53" spans="1:9" x14ac:dyDescent="0.25">
      <c r="A53" s="1"/>
      <c r="B53" s="102" t="s">
        <v>134</v>
      </c>
      <c r="C53" s="103"/>
      <c r="D53" s="103"/>
      <c r="E53" s="103"/>
      <c r="F53" s="104"/>
      <c r="G53" s="22">
        <f>(G47+G48-G49)*(1+'Fane 13. Nøgletal'!C16)</f>
        <v>8132565.1388422381</v>
      </c>
      <c r="H53" s="14" t="s">
        <v>3</v>
      </c>
      <c r="I53" s="1"/>
    </row>
    <row r="54" spans="1:9" x14ac:dyDescent="0.25">
      <c r="A54" s="1"/>
      <c r="B54" s="102" t="s">
        <v>135</v>
      </c>
      <c r="C54" s="103"/>
      <c r="D54" s="103"/>
      <c r="E54" s="103"/>
      <c r="F54" s="104"/>
      <c r="G54" s="22">
        <f>(G53)*'Fane 13. Nøgletal'!C33</f>
        <v>162651.30277684476</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99" t="s">
        <v>144</v>
      </c>
      <c r="C57" s="100"/>
      <c r="D57" s="100"/>
      <c r="E57" s="100"/>
      <c r="F57" s="100"/>
      <c r="G57" s="100"/>
      <c r="H57" s="101"/>
      <c r="I57" s="1"/>
    </row>
    <row r="58" spans="1:9" x14ac:dyDescent="0.25">
      <c r="A58" s="1"/>
      <c r="B58" s="102" t="s">
        <v>145</v>
      </c>
      <c r="C58" s="103"/>
      <c r="D58" s="103"/>
      <c r="E58" s="103"/>
      <c r="F58" s="104"/>
      <c r="G58" s="22">
        <f>(G53-G54)*(1+'Fane 13. Nøgletal'!C16)</f>
        <v>8613882.8740194757</v>
      </c>
      <c r="H58" s="14" t="s">
        <v>3</v>
      </c>
      <c r="I58" s="1"/>
    </row>
    <row r="59" spans="1:9" x14ac:dyDescent="0.25">
      <c r="A59" s="1"/>
      <c r="B59" s="102" t="s">
        <v>146</v>
      </c>
      <c r="C59" s="103"/>
      <c r="D59" s="103"/>
      <c r="E59" s="103"/>
      <c r="F59" s="104"/>
      <c r="G59" s="22">
        <f>(G58)*'Fane 13. Nøgletal'!C33</f>
        <v>172277.65748038952</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99" t="s">
        <v>220</v>
      </c>
      <c r="C62" s="100"/>
      <c r="D62" s="100"/>
      <c r="E62" s="100"/>
      <c r="F62" s="100"/>
      <c r="G62" s="100"/>
      <c r="H62" s="101"/>
      <c r="I62" s="1"/>
    </row>
    <row r="63" spans="1:9" x14ac:dyDescent="0.25">
      <c r="A63" s="1"/>
      <c r="B63" s="102" t="s">
        <v>221</v>
      </c>
      <c r="C63" s="103"/>
      <c r="D63" s="103"/>
      <c r="E63" s="103"/>
      <c r="F63" s="104"/>
      <c r="G63" s="22">
        <f>(G58-G59)*(1+'Fane 13. Nøgletal'!C16)</f>
        <v>9123686.9180354457</v>
      </c>
      <c r="H63" s="14" t="s">
        <v>3</v>
      </c>
      <c r="I63" s="1"/>
    </row>
    <row r="64" spans="1:9" x14ac:dyDescent="0.25">
      <c r="A64" s="1"/>
      <c r="B64" s="102" t="s">
        <v>222</v>
      </c>
      <c r="C64" s="103"/>
      <c r="D64" s="103"/>
      <c r="E64" s="103"/>
      <c r="F64" s="104"/>
      <c r="G64" s="22">
        <f>(G63)*'Fane 13. Nøgletal'!C33</f>
        <v>182473.73836070893</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d5KENGZ7W+PkRjRnfxDrH86mh94yNXyS1tdlP+6la9BypYOSFNoHjJweJqxybyVoMORWoJi2APLi8YibE1jcwg==" saltValue="cGvADrJfz1DzI6zRbATx0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8" t="s">
        <v>91</v>
      </c>
      <c r="C1" s="109"/>
      <c r="D1" s="109"/>
      <c r="E1" s="109"/>
      <c r="F1" s="109"/>
      <c r="G1" s="109"/>
      <c r="H1" s="109"/>
      <c r="I1" s="1"/>
    </row>
    <row r="2" spans="1:9" ht="19.899999999999999" customHeight="1" x14ac:dyDescent="0.25">
      <c r="A2" s="1"/>
      <c r="B2" s="109"/>
      <c r="C2" s="109"/>
      <c r="D2" s="109"/>
      <c r="E2" s="109"/>
      <c r="F2" s="109"/>
      <c r="G2" s="109"/>
      <c r="H2" s="109"/>
      <c r="I2" s="1"/>
    </row>
    <row r="3" spans="1:9" ht="15" customHeight="1" x14ac:dyDescent="0.25">
      <c r="A3" s="1"/>
      <c r="B3" s="110"/>
      <c r="C3" s="110"/>
      <c r="D3" s="110"/>
      <c r="E3" s="110"/>
      <c r="F3" s="110"/>
      <c r="G3" s="110"/>
      <c r="H3" s="110"/>
      <c r="I3" s="1"/>
    </row>
    <row r="4" spans="1:9" x14ac:dyDescent="0.25">
      <c r="A4" s="1"/>
      <c r="B4" s="99" t="s">
        <v>48</v>
      </c>
      <c r="C4" s="100"/>
      <c r="D4" s="100"/>
      <c r="E4" s="100"/>
      <c r="F4" s="100"/>
      <c r="G4" s="100"/>
      <c r="H4" s="101"/>
      <c r="I4" s="1"/>
    </row>
    <row r="5" spans="1:9" x14ac:dyDescent="0.25">
      <c r="A5" s="1"/>
      <c r="B5" s="102" t="s">
        <v>51</v>
      </c>
      <c r="C5" s="103"/>
      <c r="D5" s="103"/>
      <c r="E5" s="103"/>
      <c r="F5" s="104"/>
      <c r="G5" s="47">
        <v>12328187.475950727</v>
      </c>
      <c r="H5" s="14" t="s">
        <v>3</v>
      </c>
      <c r="I5" s="1"/>
    </row>
    <row r="6" spans="1:9" x14ac:dyDescent="0.25">
      <c r="A6" s="1"/>
      <c r="B6" s="102" t="s">
        <v>49</v>
      </c>
      <c r="C6" s="103"/>
      <c r="D6" s="103"/>
      <c r="E6" s="103"/>
      <c r="F6" s="104"/>
      <c r="G6" s="22">
        <f>G5*'Fane 13. Nøgletal'!C21</f>
        <v>112186.50603115163</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99" t="s">
        <v>52</v>
      </c>
      <c r="C9" s="100"/>
      <c r="D9" s="100"/>
      <c r="E9" s="100"/>
      <c r="F9" s="100"/>
      <c r="G9" s="100"/>
      <c r="H9" s="101"/>
      <c r="I9" s="1"/>
    </row>
    <row r="10" spans="1:9" x14ac:dyDescent="0.25">
      <c r="A10" s="1"/>
      <c r="B10" s="102" t="s">
        <v>53</v>
      </c>
      <c r="C10" s="103"/>
      <c r="D10" s="103"/>
      <c r="E10" s="103"/>
      <c r="F10" s="104"/>
      <c r="G10" s="22">
        <f>(G5-G6)*(1+'Fane 13. Nøgletal'!C9)</f>
        <v>12371144.182237552</v>
      </c>
      <c r="H10" s="14" t="s">
        <v>3</v>
      </c>
      <c r="I10" s="1"/>
    </row>
    <row r="11" spans="1:9" x14ac:dyDescent="0.25">
      <c r="A11" s="1"/>
      <c r="B11" s="105" t="s">
        <v>54</v>
      </c>
      <c r="C11" s="106"/>
      <c r="D11" s="106"/>
      <c r="E11" s="106"/>
      <c r="F11" s="107"/>
      <c r="G11" s="48">
        <v>0</v>
      </c>
      <c r="H11" s="14" t="s">
        <v>3</v>
      </c>
      <c r="I11" s="1"/>
    </row>
    <row r="12" spans="1:9" x14ac:dyDescent="0.25">
      <c r="A12" s="1"/>
      <c r="B12" s="102" t="s">
        <v>55</v>
      </c>
      <c r="C12" s="103"/>
      <c r="D12" s="103"/>
      <c r="E12" s="103"/>
      <c r="F12" s="104"/>
      <c r="G12" s="22">
        <f>G10*'Fane 13. Nøgletal'!C21+G11*'Fane 13. Nøgletal'!C22</f>
        <v>112577.41205836173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99" t="s">
        <v>56</v>
      </c>
      <c r="C15" s="100"/>
      <c r="D15" s="100"/>
      <c r="E15" s="100"/>
      <c r="F15" s="100"/>
      <c r="G15" s="100"/>
      <c r="H15" s="101"/>
      <c r="I15" s="1"/>
    </row>
    <row r="16" spans="1:9" x14ac:dyDescent="0.25">
      <c r="A16" s="1"/>
      <c r="B16" s="102" t="s">
        <v>57</v>
      </c>
      <c r="C16" s="103"/>
      <c r="D16" s="103"/>
      <c r="E16" s="103"/>
      <c r="F16" s="104"/>
      <c r="G16" s="22">
        <f>(G10+G11-G12)*(1+'Fane 13. Nøgletal'!C11)</f>
        <v>12465736.548595218</v>
      </c>
      <c r="H16" s="14" t="s">
        <v>3</v>
      </c>
      <c r="I16" s="1"/>
    </row>
    <row r="17" spans="1:9" x14ac:dyDescent="0.25">
      <c r="A17" s="1"/>
      <c r="B17" s="102" t="s">
        <v>101</v>
      </c>
      <c r="C17" s="103"/>
      <c r="D17" s="103"/>
      <c r="E17" s="103"/>
      <c r="F17" s="104"/>
      <c r="G17" s="47">
        <v>97124.419959174003</v>
      </c>
      <c r="H17" s="14" t="s">
        <v>3</v>
      </c>
      <c r="I17" s="1"/>
    </row>
    <row r="18" spans="1:9" x14ac:dyDescent="0.25">
      <c r="A18" s="1"/>
      <c r="B18" s="105" t="s">
        <v>58</v>
      </c>
      <c r="C18" s="106"/>
      <c r="D18" s="106"/>
      <c r="E18" s="106"/>
      <c r="F18" s="107"/>
      <c r="G18" s="47">
        <v>57803.501322670956</v>
      </c>
      <c r="H18" s="14" t="s">
        <v>3</v>
      </c>
      <c r="I18" s="1"/>
    </row>
    <row r="19" spans="1:9" x14ac:dyDescent="0.25">
      <c r="A19" s="1"/>
      <c r="B19" s="102" t="s">
        <v>59</v>
      </c>
      <c r="C19" s="103"/>
      <c r="D19" s="103"/>
      <c r="E19" s="103"/>
      <c r="F19" s="104"/>
      <c r="G19" s="22">
        <f>(G16+G17+G18)*'Fane 13. Nøgletal'!C23</f>
        <v>109799.78088793045</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99" t="s">
        <v>60</v>
      </c>
      <c r="C22" s="100"/>
      <c r="D22" s="100"/>
      <c r="E22" s="100"/>
      <c r="F22" s="100"/>
      <c r="G22" s="100"/>
      <c r="H22" s="101"/>
      <c r="I22" s="1"/>
    </row>
    <row r="23" spans="1:9" x14ac:dyDescent="0.25">
      <c r="A23" s="1"/>
      <c r="B23" s="102" t="s">
        <v>61</v>
      </c>
      <c r="C23" s="103"/>
      <c r="D23" s="103"/>
      <c r="E23" s="103"/>
      <c r="F23" s="104"/>
      <c r="G23" s="22">
        <f>(SUM(G16:G18)-G19)*(1+'Fane 13. Nøgletal'!C11)</f>
        <v>12722298.30223305</v>
      </c>
      <c r="H23" s="14" t="s">
        <v>3</v>
      </c>
      <c r="I23" s="1"/>
    </row>
    <row r="24" spans="1:9" x14ac:dyDescent="0.25">
      <c r="A24" s="1"/>
      <c r="B24" s="105" t="s">
        <v>62</v>
      </c>
      <c r="C24" s="106"/>
      <c r="D24" s="106"/>
      <c r="E24" s="106"/>
      <c r="F24" s="107"/>
      <c r="G24" s="47">
        <v>0</v>
      </c>
      <c r="H24" s="14" t="s">
        <v>3</v>
      </c>
      <c r="I24" s="1"/>
    </row>
    <row r="25" spans="1:9" x14ac:dyDescent="0.25">
      <c r="A25" s="1"/>
      <c r="B25" s="102" t="s">
        <v>63</v>
      </c>
      <c r="C25" s="103"/>
      <c r="D25" s="103"/>
      <c r="E25" s="103"/>
      <c r="F25" s="104"/>
      <c r="G25" s="22">
        <f>G23*'Fane 13. Nøgletal'!C23+G24*'Fane 13. Nøgletal'!C24</f>
        <v>110683.99522942753</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99" t="s">
        <v>119</v>
      </c>
      <c r="C28" s="100"/>
      <c r="D28" s="100"/>
      <c r="E28" s="100"/>
      <c r="F28" s="100"/>
      <c r="G28" s="100"/>
      <c r="H28" s="101"/>
      <c r="I28" s="1"/>
    </row>
    <row r="29" spans="1:9" x14ac:dyDescent="0.25">
      <c r="A29" s="1"/>
      <c r="B29" s="102" t="s">
        <v>64</v>
      </c>
      <c r="C29" s="103"/>
      <c r="D29" s="103"/>
      <c r="E29" s="103"/>
      <c r="F29" s="104"/>
      <c r="G29" s="22">
        <f>(G23+G24-G25)*(1+'Fane 13. Nøgletal'!C13)</f>
        <v>12765476.001549067</v>
      </c>
      <c r="H29" s="14" t="s">
        <v>3</v>
      </c>
      <c r="I29" s="1"/>
    </row>
    <row r="30" spans="1:9" x14ac:dyDescent="0.25">
      <c r="A30" s="1"/>
      <c r="B30" s="102" t="s">
        <v>113</v>
      </c>
      <c r="C30" s="103"/>
      <c r="D30" s="103"/>
      <c r="E30" s="103"/>
      <c r="F30" s="104"/>
      <c r="G30" s="47">
        <v>85068.290185199992</v>
      </c>
      <c r="H30" s="14" t="s">
        <v>3</v>
      </c>
      <c r="I30" s="1"/>
    </row>
    <row r="31" spans="1:9" x14ac:dyDescent="0.25">
      <c r="A31" s="1"/>
      <c r="B31" s="102" t="s">
        <v>120</v>
      </c>
      <c r="C31" s="103"/>
      <c r="D31" s="103"/>
      <c r="E31" s="103"/>
      <c r="F31" s="104"/>
      <c r="G31" s="22">
        <f>(G29+G30)*'Fane 13. Nøgletal'!C25</f>
        <v>353389.96802269237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99" t="s">
        <v>124</v>
      </c>
      <c r="C34" s="100"/>
      <c r="D34" s="100"/>
      <c r="E34" s="100"/>
      <c r="F34" s="100"/>
      <c r="G34" s="100"/>
      <c r="H34" s="101"/>
      <c r="I34" s="1"/>
    </row>
    <row r="35" spans="1:9" x14ac:dyDescent="0.25">
      <c r="A35" s="1"/>
      <c r="B35" s="102" t="s">
        <v>67</v>
      </c>
      <c r="C35" s="103"/>
      <c r="D35" s="103"/>
      <c r="E35" s="103"/>
      <c r="F35" s="104"/>
      <c r="G35" s="22">
        <f>(G29+G30-G31)*(1+'Fane 13. Nøgletal'!C13)</f>
        <v>12649619.606460854</v>
      </c>
      <c r="H35" s="14" t="s">
        <v>3</v>
      </c>
      <c r="I35" s="1"/>
    </row>
    <row r="36" spans="1:9" x14ac:dyDescent="0.25">
      <c r="A36" s="1"/>
      <c r="B36" s="102" t="s">
        <v>129</v>
      </c>
      <c r="C36" s="103"/>
      <c r="D36" s="103"/>
      <c r="E36" s="103"/>
      <c r="F36" s="104"/>
      <c r="G36" s="47">
        <v>71544.869006749999</v>
      </c>
      <c r="H36" s="14" t="s">
        <v>3</v>
      </c>
      <c r="I36" s="1"/>
    </row>
    <row r="37" spans="1:9" x14ac:dyDescent="0.25">
      <c r="A37" s="1"/>
      <c r="B37" s="102" t="s">
        <v>125</v>
      </c>
      <c r="C37" s="103"/>
      <c r="D37" s="103"/>
      <c r="E37" s="103"/>
      <c r="F37" s="104"/>
      <c r="G37" s="22">
        <f>G35*'Fane 13. Nøgletal'!C25+G36*'Fane 13. Nøgletal'!C26</f>
        <v>348923.40323897341</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99" t="s">
        <v>159</v>
      </c>
      <c r="C40" s="100"/>
      <c r="D40" s="100"/>
      <c r="E40" s="100"/>
      <c r="F40" s="100"/>
      <c r="G40" s="100"/>
      <c r="H40" s="101"/>
      <c r="I40" s="1"/>
    </row>
    <row r="41" spans="1:9" x14ac:dyDescent="0.25">
      <c r="A41" s="1"/>
      <c r="B41" s="102" t="s">
        <v>66</v>
      </c>
      <c r="C41" s="103"/>
      <c r="D41" s="103"/>
      <c r="E41" s="103"/>
      <c r="F41" s="104"/>
      <c r="G41" s="22">
        <f>(G35+G36-G37)*(1+'Fane 13. Nøgletal'!C15)</f>
        <v>12812692.854399972</v>
      </c>
      <c r="H41" s="14" t="s">
        <v>3</v>
      </c>
      <c r="I41" s="1"/>
    </row>
    <row r="42" spans="1:9" x14ac:dyDescent="0.25">
      <c r="A42" s="1"/>
      <c r="B42" s="102" t="s">
        <v>169</v>
      </c>
      <c r="C42" s="103"/>
      <c r="D42" s="103"/>
      <c r="E42" s="103"/>
      <c r="F42" s="104"/>
      <c r="G42" s="9">
        <v>25449.650452800004</v>
      </c>
      <c r="H42" s="14" t="s">
        <v>3</v>
      </c>
      <c r="I42" s="1"/>
    </row>
    <row r="43" spans="1:9" x14ac:dyDescent="0.25">
      <c r="A43" s="1"/>
      <c r="B43" s="102" t="s">
        <v>65</v>
      </c>
      <c r="C43" s="103"/>
      <c r="D43" s="103"/>
      <c r="E43" s="103"/>
      <c r="F43" s="104"/>
      <c r="G43" s="58">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99" t="s">
        <v>160</v>
      </c>
      <c r="C46" s="100"/>
      <c r="D46" s="100"/>
      <c r="E46" s="100"/>
      <c r="F46" s="100"/>
      <c r="G46" s="100"/>
      <c r="H46" s="101"/>
      <c r="I46" s="1"/>
    </row>
    <row r="47" spans="1:9" x14ac:dyDescent="0.25">
      <c r="A47" s="1"/>
      <c r="B47" s="102" t="s">
        <v>114</v>
      </c>
      <c r="C47" s="103"/>
      <c r="D47" s="103"/>
      <c r="E47" s="103"/>
      <c r="F47" s="104"/>
      <c r="G47" s="22">
        <f>(G41+G42-G43)*(1+'Fane 13. Nøgletal'!C15)</f>
        <v>13295180.378025532</v>
      </c>
      <c r="H47" s="14" t="s">
        <v>3</v>
      </c>
      <c r="I47" s="1"/>
    </row>
    <row r="48" spans="1:9" x14ac:dyDescent="0.25">
      <c r="A48" s="1"/>
      <c r="B48" s="102" t="s">
        <v>210</v>
      </c>
      <c r="C48" s="103"/>
      <c r="D48" s="103"/>
      <c r="E48" s="103"/>
      <c r="F48" s="104"/>
      <c r="G48" s="22">
        <f>('Fane 2.1. Økonomisk ramme 2024'!C10+'Fane 2.1. Økonomisk ramme 2024'!C12+'Fane 2.1. Økonomisk ramme 2024'!C14)*(1+'Fane 13. Nøgletal'!C16)</f>
        <v>29013.161470272</v>
      </c>
      <c r="H48" s="14" t="s">
        <v>3</v>
      </c>
      <c r="I48" s="1"/>
    </row>
    <row r="49" spans="1:9" x14ac:dyDescent="0.25">
      <c r="A49" s="1"/>
      <c r="B49" s="102" t="s">
        <v>211</v>
      </c>
      <c r="C49" s="103"/>
      <c r="D49" s="103"/>
      <c r="E49" s="103"/>
      <c r="F49" s="104"/>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99" t="s">
        <v>130</v>
      </c>
      <c r="C52" s="100"/>
      <c r="D52" s="100"/>
      <c r="E52" s="100"/>
      <c r="F52" s="100"/>
      <c r="G52" s="100"/>
      <c r="H52" s="101"/>
      <c r="I52" s="1"/>
    </row>
    <row r="53" spans="1:9" x14ac:dyDescent="0.25">
      <c r="A53" s="1"/>
      <c r="B53" s="102" t="s">
        <v>131</v>
      </c>
      <c r="C53" s="103"/>
      <c r="D53" s="103"/>
      <c r="E53" s="103"/>
      <c r="F53" s="104"/>
      <c r="G53" s="22">
        <f>(G47+G48-G49)*(1+'Fane 13. Nøgletal'!C16)</f>
        <v>14400788.377487063</v>
      </c>
      <c r="H53" s="14" t="s">
        <v>3</v>
      </c>
      <c r="I53" s="1"/>
    </row>
    <row r="54" spans="1:9" x14ac:dyDescent="0.25">
      <c r="A54" s="1"/>
      <c r="B54" s="102" t="s">
        <v>132</v>
      </c>
      <c r="C54" s="103"/>
      <c r="D54" s="103"/>
      <c r="E54" s="103"/>
      <c r="F54" s="104"/>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99" t="s">
        <v>147</v>
      </c>
      <c r="C57" s="100"/>
      <c r="D57" s="100"/>
      <c r="E57" s="100"/>
      <c r="F57" s="100"/>
      <c r="G57" s="100"/>
      <c r="H57" s="101"/>
      <c r="I57" s="1"/>
    </row>
    <row r="58" spans="1:9" x14ac:dyDescent="0.25">
      <c r="A58" s="1"/>
      <c r="B58" s="102" t="s">
        <v>148</v>
      </c>
      <c r="C58" s="103"/>
      <c r="D58" s="103"/>
      <c r="E58" s="103"/>
      <c r="F58" s="104"/>
      <c r="G58" s="22">
        <f>(G53-G54)*(1+'Fane 13. Nøgletal'!C16)</f>
        <v>15564372.078388019</v>
      </c>
      <c r="H58" s="14" t="s">
        <v>3</v>
      </c>
      <c r="I58" s="1"/>
    </row>
    <row r="59" spans="1:9" x14ac:dyDescent="0.25">
      <c r="A59" s="1"/>
      <c r="B59" s="102" t="s">
        <v>149</v>
      </c>
      <c r="C59" s="103"/>
      <c r="D59" s="103"/>
      <c r="E59" s="103"/>
      <c r="F59" s="104"/>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99" t="s">
        <v>223</v>
      </c>
      <c r="C62" s="100"/>
      <c r="D62" s="100"/>
      <c r="E62" s="100"/>
      <c r="F62" s="100"/>
      <c r="G62" s="100"/>
      <c r="H62" s="101"/>
      <c r="I62" s="1"/>
    </row>
    <row r="63" spans="1:9" x14ac:dyDescent="0.25">
      <c r="A63" s="1"/>
      <c r="B63" s="102" t="s">
        <v>224</v>
      </c>
      <c r="C63" s="103"/>
      <c r="D63" s="103"/>
      <c r="E63" s="103"/>
      <c r="F63" s="104"/>
      <c r="G63" s="22">
        <f>(G58-G59)*(1+'Fane 13. Nøgletal'!C16)</f>
        <v>16821973.342321768</v>
      </c>
      <c r="H63" s="14" t="s">
        <v>3</v>
      </c>
      <c r="I63" s="1"/>
    </row>
    <row r="64" spans="1:9" x14ac:dyDescent="0.25">
      <c r="A64" s="1"/>
      <c r="B64" s="102" t="s">
        <v>225</v>
      </c>
      <c r="C64" s="103"/>
      <c r="D64" s="103"/>
      <c r="E64" s="103"/>
      <c r="F64" s="104"/>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IHsul0Rl8hovO3kD6mBR6taBoEo17TV+NkJsJoKFojjJsUvyNh7cknKR2kSQzjtg48FpsCGChmHZ8KLfqr+A8A==" saltValue="5YrnQ3lgSir3Em+qsU4Lt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5" t="s">
        <v>77</v>
      </c>
      <c r="C3" s="95"/>
      <c r="D3" s="95"/>
      <c r="E3" s="95"/>
      <c r="F3" s="95"/>
      <c r="G3" s="95"/>
      <c r="H3" s="1"/>
    </row>
    <row r="4" spans="1:8" ht="15" customHeight="1" x14ac:dyDescent="0.25">
      <c r="A4" s="1"/>
      <c r="B4" s="95"/>
      <c r="C4" s="95"/>
      <c r="D4" s="95"/>
      <c r="E4" s="95"/>
      <c r="F4" s="95"/>
      <c r="G4" s="9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9" t="s">
        <v>9</v>
      </c>
      <c r="C8" s="100"/>
      <c r="D8" s="100"/>
      <c r="E8" s="100"/>
      <c r="F8" s="100"/>
      <c r="G8" s="101"/>
      <c r="H8" s="1"/>
    </row>
    <row r="9" spans="1:8" x14ac:dyDescent="0.25">
      <c r="A9" s="1"/>
      <c r="B9" s="62" t="s">
        <v>150</v>
      </c>
      <c r="C9" s="63"/>
      <c r="D9" s="63"/>
      <c r="E9" s="63"/>
      <c r="F9" s="64"/>
      <c r="G9" s="76">
        <v>1.7686583088094662E-2</v>
      </c>
      <c r="H9" s="1"/>
    </row>
    <row r="10" spans="1:8" x14ac:dyDescent="0.25">
      <c r="A10" s="1"/>
      <c r="B10" s="51"/>
      <c r="C10" s="52"/>
      <c r="D10" s="52"/>
      <c r="E10" s="52"/>
      <c r="F10" s="52"/>
      <c r="G10" s="19"/>
      <c r="H10" s="1"/>
    </row>
    <row r="11" spans="1:8" ht="15" customHeight="1" x14ac:dyDescent="0.25">
      <c r="A11" s="1"/>
      <c r="B11" s="111" t="s">
        <v>236</v>
      </c>
      <c r="C11" s="112"/>
      <c r="D11" s="112"/>
      <c r="E11" s="112"/>
      <c r="F11" s="112"/>
      <c r="G11" s="113"/>
      <c r="H11" s="1"/>
    </row>
    <row r="12" spans="1:8" ht="13.5" customHeight="1" x14ac:dyDescent="0.25">
      <c r="A12" s="1"/>
      <c r="B12" s="114"/>
      <c r="C12" s="115"/>
      <c r="D12" s="115"/>
      <c r="E12" s="115"/>
      <c r="F12" s="115"/>
      <c r="G12" s="11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fFiXFY1iIcpa6tps+n5/YZKiDiRzp22h1kNEy9eo4tgX9S3uWGDI3X0XAQW94hi3jiMCv+L4IzqGx697Xy/m8Q==" saltValue="kgiVCxMTPZ6dhSz/l75UC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2023-08-17T14:12:39Z</dcterms:modified>
</cp:coreProperties>
</file>