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Grindsted Renseanlæg AS (S112)\ØR2025\"/>
    </mc:Choice>
  </mc:AlternateContent>
  <xr:revisionPtr revIDLastSave="0" documentId="13_ncr:1_{42BE2AFA-1AEC-4970-874B-D7383979526B}"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<sst xmlns="http://schemas.openxmlformats.org/spreadsheetml/2006/main" count="552" uniqueCount="237">
  <si>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</si>
  <si>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</si>
  <si>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</si>
  <si>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</si>
  <si>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</si>
  <si>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</si>
  <si>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</si>
  <si>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</si>
  <si>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</si>
  <si>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</si>
  <si>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</si>
  <si>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</si>
  <si>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</si>
  <si>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</si>
  <si>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</si>
  <si>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</si>
  <si>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</si>
  <si>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</si>
  <si>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</si>
  <si>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</si>
  <si>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</si>
  <si>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</si>
  <si>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</si>
  <si>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</si>
  <si>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</si>
  <si>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</si>
  <si>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</si>
  <si>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</si>
  <si>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</si>
  <si>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</si>
  <si>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</si>
  <si>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</si>
  <si>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</si>
  <si>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</si>
  <si>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</si>
  <si>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</si>
  <si>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</si>
  <si>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</si>
  <si>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</si>
  <si>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</si>
  <si>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</si>
  <si>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</si>
  <si>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</si>
  <si>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</si>
  <si>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</si>
  <si>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</si>
  <si>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</si>
  <si>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</si>
  <si>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</si>
  <si>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</si>
  <si>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</si>
  <si>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</si>
  <si>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</si>
  <si>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</si>
  <si>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</si>
  <si>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</si>
  <si>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</si>
  <si>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</si>
  <si>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</si>
  <si>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</si>
  <si>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</si>
  <si>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</si>
  <si>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</si>
  <si>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</si>
  <si>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</si>
  <si>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</si>
  <si>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</si>
  <si>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</si>
  <si>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</si>
  <si>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</si>
  <si>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</si>
  <si>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</si>
  <si>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</si>
  <si>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</si>
  <si>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</si>
  <si>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</si>
  <si>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</si>
  <si>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</si>
  <si>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</si>
  <si>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</si>
  <si>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</si>
  <si>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</si>
  <si>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</si>
  <si>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</si>
  <si>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</si>
  <si>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</si>
  <si>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</si>
  <si>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</si>
  <si>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</si>
  <si>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</si>
  <si>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</si>
  <si>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</si>
  <si>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</si>
  <si>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</si>
  <si>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</si>
  <si>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</si>
  <si>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</si>
  <si>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</si>
  <si>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</si>
  <si>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</si>
  <si>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</si>
  <si>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</si>
  <si>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</si>
  <si>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</si>
  <si>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</si>
  <si>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</si>
  <si>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</si>
  <si>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</si>
  <si>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</si>
  <si>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</si>
  <si>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</si>
  <si>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</si>
  <si>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</si>
  <si>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</si>
  <si>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</si>
  <si>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</si>
  <si>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</si>
  <si>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</si>
  <si>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</si>
  <si>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</si>
  <si>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</si>
  <si>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</si>
  <si>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</si>
  <si>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</si>
  <si>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</si>
  <si>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</si>
  <si>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</si>
  <si>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</si>
  <si>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</si>
  <si>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</si>
  <si>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</si>
  <si>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</si>
  <si>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</si>
  <si>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</si>
  <si>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</si>
  <si>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</si>
  <si>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</si>
  <si>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</si>
  <si>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</si>
  <si>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</si>
  <si>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</si>
  <si>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</si>
  <si>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</si>
  <si>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</si>
  <si>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</si>
  <si>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</si>
  <si>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</si>
  <si>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</si>
  <si>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</si>
  <si>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</si>
  <si>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</si>
  <si>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</si>
  <si>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</si>
  <si>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</si>
  <si>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</si>
  <si>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</si>
  <si>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</si>
  <si>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</si>
  <si>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</si>
  <si>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</si>
  <si>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</si>
  <si>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</si>
  <si>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</si>
  <si>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</si>
  <si>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</si>
  <si>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</si>
  <si>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</si>
  <si>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</si>
  <si>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</si>
  <si>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</si>
  <si>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</si>
  <si>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</si>
  <si>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</si>
  <si>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</si>
  <si>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</si>
  <si>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</si>
  <si>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</si>
  <si>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</si>
  <si>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</si>
  <si>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</si>
  <si>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</si>
  <si>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</si>
  <si>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</si>
  <si>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</si>
  <si>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</si>
  <si>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</si>
  <si>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</si>
  <si>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</si>
  <si>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</si>
  <si>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</si>
  <si>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</si>
  <si>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</si>
  <si>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</si>
  <si>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</si>
  <si>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</si>
  <si>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</si>
  <si>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</si>
  <si>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</si>
  <si>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</si>
  <si>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</si>
  <si>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</si>
  <si>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</si>
  <si>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</si>
  <si>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</si>
  <si>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</si>
  <si>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</si>
  <si>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</si>
  <si>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</si>
  <si>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</si>
  <si>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</si>
  <si>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</si>
  <si>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</si>
  <si>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</si>
  <si>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</si>
  <si>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</si>
  <si>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</si>
  <si>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</si>
  <si>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</si>
  <si>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</si>
  <si>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</si>
  <si>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</si>
  <si>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</si>
  <si>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</si>
  <si>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</si>
  <si>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</si>
  <si>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</si>
  <si>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</si>
  <si>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</si>
  <si>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Til statusmeddelelse for 2025</t>
  </si>
  <si>
    <t>Nye kunder - byggemodninger</t>
  </si>
  <si>
    <t>Ingen engangstillæg</t>
  </si>
  <si>
    <t>Spildevandsafgift</t>
  </si>
  <si>
    <t>Afgift til Forsyningssekretariatet</t>
  </si>
  <si>
    <t>Køb af ydelser og produkter fra andre vandselskaber reguleret af vandsektorloven</t>
  </si>
  <si>
    <t>Ejendomsskatter</t>
  </si>
  <si>
    <t>Gebyr til Miljøstyrelsen</t>
  </si>
  <si>
    <t>Øvrige afgifter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</si>
</sst>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4" t="s">
        <v>4</v>
      </c>
      <c r="D6" s="94"/>
      <c r="E6" s="94"/>
      <c r="F6" s="94"/>
      <c r="G6" s="3"/>
    </row>
    <row r="7" spans="1:7" ht="15" customHeight="1" x14ac:dyDescent="0.25">
      <c r="A7" s="1"/>
      <c r="B7" s="3"/>
      <c r="C7" s="94"/>
      <c r="D7" s="94"/>
      <c r="E7" s="94"/>
      <c r="F7" s="94"/>
      <c r="G7" s="3"/>
    </row>
    <row r="8" spans="1:7" ht="15.75" x14ac:dyDescent="0.25">
      <c r="A8" s="1"/>
      <c r="B8" s="4"/>
      <c r="C8" s="99" t="s">
        <v>228</v>
      </c>
      <c r="D8" s="99"/>
      <c r="E8" s="99"/>
      <c r="F8" s="99"/>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8" t="s">
        <v>5</v>
      </c>
      <c r="D11" s="98"/>
      <c r="E11" s="98"/>
      <c r="F11" s="98"/>
      <c r="G11" s="5"/>
    </row>
    <row r="12" spans="1:7" x14ac:dyDescent="0.25">
      <c r="A12" s="1"/>
      <c r="B12" s="1"/>
      <c r="C12" s="1"/>
      <c r="D12" s="1"/>
      <c r="E12" s="1"/>
      <c r="F12" s="1"/>
      <c r="G12" s="5"/>
    </row>
    <row r="13" spans="1:7" x14ac:dyDescent="0.25">
      <c r="A13" s="1"/>
      <c r="B13" s="6" t="s">
        <v>6</v>
      </c>
      <c r="C13" s="100" t="s">
        <v>127</v>
      </c>
      <c r="D13" s="101"/>
      <c r="E13" s="101"/>
      <c r="F13" s="102"/>
      <c r="G13" s="5"/>
    </row>
    <row r="14" spans="1:7" x14ac:dyDescent="0.25">
      <c r="A14" s="1"/>
      <c r="B14" s="6" t="s">
        <v>16</v>
      </c>
      <c r="C14" s="91" t="s">
        <v>186</v>
      </c>
      <c r="D14" s="92"/>
      <c r="E14" s="92"/>
      <c r="F14" s="93"/>
      <c r="G14" s="5"/>
    </row>
    <row r="15" spans="1:7" x14ac:dyDescent="0.25">
      <c r="A15" s="1"/>
      <c r="B15" s="6" t="s">
        <v>30</v>
      </c>
      <c r="C15" s="91" t="s">
        <v>149</v>
      </c>
      <c r="D15" s="92"/>
      <c r="E15" s="92"/>
      <c r="F15" s="93"/>
      <c r="G15" s="5"/>
    </row>
    <row r="16" spans="1:7" x14ac:dyDescent="0.25">
      <c r="A16" s="1"/>
      <c r="B16" s="6" t="s">
        <v>31</v>
      </c>
      <c r="C16" s="91" t="s">
        <v>151</v>
      </c>
      <c r="D16" s="92"/>
      <c r="E16" s="92"/>
      <c r="F16" s="93"/>
      <c r="G16" s="5"/>
    </row>
    <row r="17" spans="1:8" x14ac:dyDescent="0.25">
      <c r="A17" s="1"/>
      <c r="B17" s="6" t="s">
        <v>61</v>
      </c>
      <c r="C17" s="91" t="s">
        <v>152</v>
      </c>
      <c r="D17" s="92"/>
      <c r="E17" s="92"/>
      <c r="F17" s="93"/>
      <c r="G17" s="5"/>
    </row>
    <row r="18" spans="1:8" x14ac:dyDescent="0.25">
      <c r="A18" s="1"/>
      <c r="B18" s="6" t="s">
        <v>53</v>
      </c>
      <c r="C18" s="88" t="s">
        <v>45</v>
      </c>
      <c r="D18" s="89"/>
      <c r="E18" s="89"/>
      <c r="F18" s="90"/>
      <c r="G18" s="5"/>
    </row>
    <row r="19" spans="1:8" x14ac:dyDescent="0.25">
      <c r="A19" s="1"/>
      <c r="B19" s="6" t="s">
        <v>54</v>
      </c>
      <c r="C19" s="88" t="s">
        <v>46</v>
      </c>
      <c r="D19" s="89"/>
      <c r="E19" s="89"/>
      <c r="F19" s="90"/>
      <c r="G19" s="5"/>
    </row>
    <row r="20" spans="1:8" x14ac:dyDescent="0.25">
      <c r="A20" s="1"/>
      <c r="B20" s="6" t="s">
        <v>7</v>
      </c>
      <c r="C20" s="88" t="s">
        <v>10</v>
      </c>
      <c r="D20" s="89"/>
      <c r="E20" s="89"/>
      <c r="F20" s="90"/>
      <c r="G20" s="5"/>
    </row>
    <row r="21" spans="1:8" x14ac:dyDescent="0.25">
      <c r="A21" s="1"/>
      <c r="B21" s="6" t="s">
        <v>55</v>
      </c>
      <c r="C21" s="95" t="s">
        <v>12</v>
      </c>
      <c r="D21" s="96"/>
      <c r="E21" s="96"/>
      <c r="F21" s="97"/>
      <c r="G21" s="5"/>
    </row>
    <row r="22" spans="1:8" x14ac:dyDescent="0.25">
      <c r="A22" s="1"/>
      <c r="B22" s="6" t="s">
        <v>39</v>
      </c>
      <c r="C22" s="82" t="s">
        <v>153</v>
      </c>
      <c r="D22" s="83"/>
      <c r="E22" s="83"/>
      <c r="F22" s="84"/>
      <c r="G22" s="5"/>
    </row>
    <row r="23" spans="1:8" x14ac:dyDescent="0.25">
      <c r="A23" s="1"/>
      <c r="B23" s="6" t="s">
        <v>8</v>
      </c>
      <c r="C23" s="82" t="s">
        <v>112</v>
      </c>
      <c r="D23" s="83"/>
      <c r="E23" s="83"/>
      <c r="F23" s="84"/>
      <c r="G23" s="5"/>
    </row>
    <row r="24" spans="1:8" x14ac:dyDescent="0.25">
      <c r="A24" s="1"/>
      <c r="B24" s="6" t="s">
        <v>9</v>
      </c>
      <c r="C24" s="82" t="s">
        <v>154</v>
      </c>
      <c r="D24" s="83"/>
      <c r="E24" s="83"/>
      <c r="F24" s="84"/>
      <c r="G24" s="5"/>
    </row>
    <row r="25" spans="1:8" x14ac:dyDescent="0.25">
      <c r="A25" s="1"/>
      <c r="B25" s="6" t="s">
        <v>97</v>
      </c>
      <c r="C25" s="82" t="s">
        <v>91</v>
      </c>
      <c r="D25" s="83"/>
      <c r="E25" s="83"/>
      <c r="F25" s="84"/>
      <c r="G25" s="1"/>
    </row>
    <row r="26" spans="1:8" x14ac:dyDescent="0.25">
      <c r="A26" s="1"/>
      <c r="B26" s="6" t="s">
        <v>98</v>
      </c>
      <c r="C26" s="82" t="s">
        <v>40</v>
      </c>
      <c r="D26" s="83"/>
      <c r="E26" s="83"/>
      <c r="F26" s="84"/>
      <c r="G26" s="1"/>
    </row>
    <row r="27" spans="1:8" x14ac:dyDescent="0.25">
      <c r="A27" s="1"/>
      <c r="B27" s="6" t="s">
        <v>99</v>
      </c>
      <c r="C27" s="82" t="s">
        <v>41</v>
      </c>
      <c r="D27" s="83"/>
      <c r="E27" s="83"/>
      <c r="F27" s="84"/>
      <c r="G27" s="1"/>
    </row>
    <row r="28" spans="1:8" x14ac:dyDescent="0.25">
      <c r="A28" s="1"/>
      <c r="B28" s="6" t="s">
        <v>15</v>
      </c>
      <c r="C28" s="82" t="s">
        <v>42</v>
      </c>
      <c r="D28" s="83"/>
      <c r="E28" s="83"/>
      <c r="F28" s="84"/>
      <c r="G28" s="1"/>
      <c r="H28" s="2" t="s">
        <v>150</v>
      </c>
    </row>
    <row r="29" spans="1:8" x14ac:dyDescent="0.25">
      <c r="A29" s="1"/>
      <c r="B29" s="6" t="s">
        <v>33</v>
      </c>
      <c r="C29" s="82" t="s">
        <v>68</v>
      </c>
      <c r="D29" s="83"/>
      <c r="E29" s="83"/>
      <c r="F29" s="84"/>
      <c r="G29" s="1"/>
    </row>
    <row r="30" spans="1:8" x14ac:dyDescent="0.25">
      <c r="A30" s="1"/>
      <c r="B30" s="6" t="s">
        <v>34</v>
      </c>
      <c r="C30" s="82" t="s">
        <v>32</v>
      </c>
      <c r="D30" s="83"/>
      <c r="E30" s="83"/>
      <c r="F30" s="84"/>
      <c r="G30" s="1"/>
    </row>
    <row r="31" spans="1:8" x14ac:dyDescent="0.25">
      <c r="A31" s="1"/>
      <c r="B31" s="6" t="s">
        <v>100</v>
      </c>
      <c r="C31" s="85" t="s">
        <v>52</v>
      </c>
      <c r="D31" s="86"/>
      <c r="E31" s="86"/>
      <c r="F31" s="87"/>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M5dtCEde7lc+lFuYUZgPkXLDcp9Fz/OXZB2BQZFxd0EazandTNGIwY3NCW2WiT8oH9cHZEtMOUJT0C0089lhCg==" saltValue="Aj/jvZGbX7fJOfp0qIagEg=="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58</v>
      </c>
      <c r="C3" s="103"/>
      <c r="D3" s="103"/>
      <c r="E3" s="1"/>
    </row>
    <row r="4" spans="1:5" ht="15" customHeight="1" x14ac:dyDescent="0.25">
      <c r="A4" s="1"/>
      <c r="B4" s="103"/>
      <c r="C4" s="103"/>
      <c r="D4" s="10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7" t="s">
        <v>165</v>
      </c>
      <c r="C8" s="108"/>
      <c r="D8" s="109"/>
      <c r="E8" s="1"/>
    </row>
    <row r="9" spans="1:5" ht="15" customHeight="1" x14ac:dyDescent="0.25">
      <c r="A9" s="1"/>
      <c r="B9" s="27" t="s">
        <v>28</v>
      </c>
      <c r="C9" s="67" t="s">
        <v>166</v>
      </c>
      <c r="D9" s="11"/>
      <c r="E9" s="1"/>
    </row>
    <row r="10" spans="1:5" ht="15" customHeight="1" x14ac:dyDescent="0.25">
      <c r="A10" s="1"/>
      <c r="B10" s="71" t="s">
        <v>231</v>
      </c>
      <c r="C10" s="72">
        <v>1587537</v>
      </c>
      <c r="D10" s="14" t="s">
        <v>3</v>
      </c>
      <c r="E10" s="1"/>
    </row>
    <row r="11" spans="1:5" ht="15" customHeight="1" x14ac:dyDescent="0.25">
      <c r="A11" s="1"/>
      <c r="B11" s="71" t="s">
        <v>232</v>
      </c>
      <c r="C11" s="72">
        <v>67767</v>
      </c>
      <c r="D11" s="14" t="s">
        <v>3</v>
      </c>
      <c r="E11" s="1"/>
    </row>
    <row r="12" spans="1:5" ht="25.5" x14ac:dyDescent="0.25">
      <c r="A12" s="1"/>
      <c r="B12" s="71" t="s">
        <v>233</v>
      </c>
      <c r="C12" s="72">
        <v>31935</v>
      </c>
      <c r="D12" s="14" t="s">
        <v>3</v>
      </c>
      <c r="E12" s="1"/>
    </row>
    <row r="13" spans="1:5" x14ac:dyDescent="0.25">
      <c r="A13" s="1"/>
      <c r="B13" s="71" t="s">
        <v>234</v>
      </c>
      <c r="C13" s="72">
        <v>39712</v>
      </c>
      <c r="D13" s="14" t="s">
        <v>3</v>
      </c>
      <c r="E13" s="1"/>
    </row>
    <row r="14" spans="1:5" x14ac:dyDescent="0.25">
      <c r="A14" s="1"/>
      <c r="B14" s="71" t="s">
        <v>235</v>
      </c>
      <c r="C14" s="72">
        <v>16035</v>
      </c>
      <c r="D14" s="14" t="s">
        <v>3</v>
      </c>
      <c r="E14" s="1"/>
    </row>
    <row r="15" spans="1:5" x14ac:dyDescent="0.25">
      <c r="A15" s="1"/>
      <c r="B15" s="71" t="s">
        <v>236</v>
      </c>
      <c r="C15" s="72">
        <v>6498</v>
      </c>
      <c r="D15" s="14" t="s">
        <v>3</v>
      </c>
      <c r="E15" s="1"/>
    </row>
    <row r="16" spans="1:5" x14ac:dyDescent="0.25">
      <c r="A16" s="1"/>
      <c r="B16" s="71"/>
      <c r="C16" s="72"/>
      <c r="D16" s="14" t="s">
        <v>3</v>
      </c>
      <c r="E16" s="1"/>
    </row>
    <row r="17" spans="1:5" x14ac:dyDescent="0.25">
      <c r="A17" s="1"/>
      <c r="B17" s="71"/>
      <c r="C17" s="72"/>
      <c r="D17" s="14" t="s">
        <v>3</v>
      </c>
      <c r="E17" s="1"/>
    </row>
    <row r="18" spans="1:5" x14ac:dyDescent="0.25">
      <c r="A18" s="1"/>
      <c r="B18" s="71"/>
      <c r="C18" s="72"/>
      <c r="D18" s="14" t="s">
        <v>3</v>
      </c>
      <c r="E18" s="1"/>
    </row>
    <row r="19" spans="1:5" x14ac:dyDescent="0.25">
      <c r="A19" s="1"/>
      <c r="B19" s="71"/>
      <c r="C19" s="72"/>
      <c r="D19" s="14" t="s">
        <v>3</v>
      </c>
      <c r="E19" s="1"/>
    </row>
    <row r="20" spans="1:5" x14ac:dyDescent="0.25">
      <c r="A20" s="1"/>
      <c r="B20" s="33" t="s">
        <v>167</v>
      </c>
      <c r="C20" s="12">
        <f>SUM(C10:C19)</f>
        <v>1749484</v>
      </c>
      <c r="D20" s="13" t="s">
        <v>3</v>
      </c>
      <c r="E20" s="1"/>
    </row>
    <row r="21" spans="1:5" x14ac:dyDescent="0.25">
      <c r="A21" s="1"/>
      <c r="B21" s="33" t="s">
        <v>168</v>
      </c>
      <c r="C21" s="12">
        <f>C20*(1+'Fane 15. Nøgletal'!C10)^2</f>
        <v>1989155.7677239601</v>
      </c>
      <c r="D21" s="13" t="s">
        <v>3</v>
      </c>
      <c r="E21" s="1"/>
    </row>
    <row r="22" spans="1:5" x14ac:dyDescent="0.25">
      <c r="A22" s="1"/>
      <c r="B22" s="16"/>
      <c r="C22" s="15"/>
      <c r="D22" s="15"/>
      <c r="E22" s="1"/>
    </row>
    <row r="23" spans="1:5" x14ac:dyDescent="0.25">
      <c r="A23" s="1"/>
      <c r="B23" s="16"/>
      <c r="C23" s="15"/>
      <c r="D23" s="15"/>
      <c r="E23" s="1"/>
    </row>
    <row r="24" spans="1:5" x14ac:dyDescent="0.25">
      <c r="A24" s="1"/>
      <c r="B24" s="107" t="s">
        <v>60</v>
      </c>
      <c r="C24" s="108"/>
      <c r="D24" s="109"/>
      <c r="E24" s="1"/>
    </row>
    <row r="25" spans="1:5" x14ac:dyDescent="0.25">
      <c r="A25" s="1"/>
      <c r="B25" s="37" t="s">
        <v>72</v>
      </c>
      <c r="C25" s="9"/>
      <c r="D25" s="14" t="s">
        <v>3</v>
      </c>
      <c r="E25" s="1"/>
    </row>
    <row r="26" spans="1:5" x14ac:dyDescent="0.25">
      <c r="A26" s="1"/>
      <c r="B26" s="37" t="s">
        <v>83</v>
      </c>
      <c r="C26" s="9"/>
      <c r="D26" s="14" t="s">
        <v>3</v>
      </c>
      <c r="E26" s="1"/>
    </row>
    <row r="27" spans="1:5" x14ac:dyDescent="0.25">
      <c r="A27" s="1"/>
      <c r="B27" s="37" t="s">
        <v>148</v>
      </c>
      <c r="C27" s="9"/>
      <c r="D27" s="14" t="s">
        <v>3</v>
      </c>
      <c r="E27" s="1"/>
    </row>
    <row r="28" spans="1:5" x14ac:dyDescent="0.25">
      <c r="A28" s="1"/>
      <c r="B28" s="34" t="s">
        <v>169</v>
      </c>
      <c r="C28" s="9"/>
      <c r="D28" s="36" t="s">
        <v>3</v>
      </c>
      <c r="E28" s="1"/>
    </row>
    <row r="29" spans="1:5" x14ac:dyDescent="0.25">
      <c r="A29" s="1"/>
      <c r="B29" s="107"/>
      <c r="C29" s="108"/>
      <c r="D29" s="109"/>
      <c r="E29" s="1"/>
    </row>
    <row r="30" spans="1:5" x14ac:dyDescent="0.25">
      <c r="A30" s="1"/>
      <c r="B30" s="1"/>
      <c r="C30" s="1"/>
      <c r="D30" s="1"/>
      <c r="E30" s="1"/>
    </row>
    <row r="31" spans="1:5" x14ac:dyDescent="0.25">
      <c r="A31" s="1"/>
      <c r="B31" s="1"/>
      <c r="C31" s="1"/>
      <c r="D31" s="1"/>
      <c r="E31" s="1"/>
    </row>
    <row r="32" spans="1:5" x14ac:dyDescent="0.25">
      <c r="A32" s="1"/>
      <c r="B32" s="107" t="s">
        <v>47</v>
      </c>
      <c r="C32" s="108"/>
      <c r="D32" s="109"/>
      <c r="E32" s="1"/>
    </row>
    <row r="33" spans="1:5" x14ac:dyDescent="0.25">
      <c r="A33" s="1"/>
      <c r="B33" s="37" t="s">
        <v>72</v>
      </c>
      <c r="C33" s="9"/>
      <c r="D33" s="14" t="s">
        <v>3</v>
      </c>
      <c r="E33" s="1"/>
    </row>
    <row r="34" spans="1:5" x14ac:dyDescent="0.25">
      <c r="A34" s="1"/>
      <c r="B34" s="37" t="s">
        <v>83</v>
      </c>
      <c r="C34" s="9"/>
      <c r="D34" s="14" t="s">
        <v>3</v>
      </c>
      <c r="E34" s="1"/>
    </row>
    <row r="35" spans="1:5" x14ac:dyDescent="0.25">
      <c r="A35" s="1"/>
      <c r="B35" s="37" t="s">
        <v>148</v>
      </c>
      <c r="C35" s="9"/>
      <c r="D35" s="14" t="s">
        <v>3</v>
      </c>
      <c r="E35" s="1"/>
    </row>
    <row r="36" spans="1:5" x14ac:dyDescent="0.25">
      <c r="A36" s="1"/>
      <c r="B36" s="34" t="s">
        <v>169</v>
      </c>
      <c r="C36" s="9"/>
      <c r="D36" s="36" t="s">
        <v>3</v>
      </c>
      <c r="E36" s="1"/>
    </row>
    <row r="37" spans="1:5" x14ac:dyDescent="0.25">
      <c r="A37" s="1"/>
      <c r="B37" s="107"/>
      <c r="C37" s="108"/>
      <c r="D37" s="109"/>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dYf8yN+VecOUmU42MMMjvXqY43GIQMml7DotS9VsM39MVcKZr3oQ++t+3JunOs/zn8XWkA1AFmPOs2MMPk9pEA==" saltValue="6mMN7MmGkLpfZs3M8qdBe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201</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4"/>
      <c r="C6" s="74"/>
      <c r="D6" s="74"/>
      <c r="E6" s="1"/>
    </row>
    <row r="7" spans="1:5" x14ac:dyDescent="0.25">
      <c r="A7" s="1"/>
      <c r="B7" s="1"/>
      <c r="C7" s="1"/>
      <c r="D7" s="1"/>
      <c r="E7" s="1"/>
    </row>
    <row r="8" spans="1:5" x14ac:dyDescent="0.25">
      <c r="A8" s="1"/>
      <c r="B8" s="107" t="s">
        <v>77</v>
      </c>
      <c r="C8" s="108"/>
      <c r="D8" s="109"/>
      <c r="E8" s="1"/>
    </row>
    <row r="9" spans="1:5" x14ac:dyDescent="0.25">
      <c r="A9" s="1"/>
      <c r="B9" s="65" t="s">
        <v>204</v>
      </c>
      <c r="C9" s="9">
        <v>-612675.85803871602</v>
      </c>
      <c r="D9" s="14" t="s">
        <v>3</v>
      </c>
      <c r="E9" s="1"/>
    </row>
    <row r="10" spans="1:5" x14ac:dyDescent="0.25">
      <c r="A10" s="1"/>
      <c r="B10" s="33"/>
      <c r="C10" s="28"/>
      <c r="D10" s="19"/>
      <c r="E10" s="1"/>
    </row>
    <row r="11" spans="1:5" ht="53.25" customHeight="1" x14ac:dyDescent="0.25">
      <c r="A11" s="1"/>
      <c r="B11" s="118" t="s">
        <v>212</v>
      </c>
      <c r="C11" s="119"/>
      <c r="D11" s="120"/>
      <c r="E11" s="1"/>
    </row>
    <row r="12" spans="1:5" x14ac:dyDescent="0.25">
      <c r="A12" s="1"/>
      <c r="B12" s="1"/>
      <c r="C12" s="1"/>
      <c r="D12" s="1"/>
      <c r="E12" s="1"/>
    </row>
    <row r="13" spans="1:5" x14ac:dyDescent="0.25">
      <c r="A13" s="1"/>
      <c r="B13" s="107" t="s">
        <v>78</v>
      </c>
      <c r="C13" s="108"/>
      <c r="D13" s="109"/>
      <c r="E13" s="1"/>
    </row>
    <row r="14" spans="1:5" x14ac:dyDescent="0.25">
      <c r="A14" s="1"/>
      <c r="B14" s="65" t="s">
        <v>202</v>
      </c>
      <c r="C14" s="9">
        <v>-306338</v>
      </c>
      <c r="D14" s="14" t="s">
        <v>3</v>
      </c>
      <c r="E14" s="1"/>
    </row>
    <row r="15" spans="1:5" x14ac:dyDescent="0.25">
      <c r="A15" s="1"/>
      <c r="B15" s="65" t="s">
        <v>203</v>
      </c>
      <c r="C15" s="9">
        <v>-306338</v>
      </c>
      <c r="D15" s="14" t="s">
        <v>3</v>
      </c>
      <c r="E15" s="1"/>
    </row>
    <row r="16" spans="1:5" x14ac:dyDescent="0.25">
      <c r="A16" s="1"/>
      <c r="B16" s="33"/>
      <c r="C16" s="28"/>
      <c r="D16" s="19"/>
      <c r="E16" s="1"/>
    </row>
    <row r="17" spans="1:5" ht="29.25" customHeight="1" x14ac:dyDescent="0.25">
      <c r="A17" s="1"/>
      <c r="B17" s="118" t="s">
        <v>121</v>
      </c>
      <c r="C17" s="119"/>
      <c r="D17" s="120"/>
      <c r="E17" s="1"/>
    </row>
    <row r="18" spans="1:5" x14ac:dyDescent="0.25">
      <c r="A18" s="1"/>
      <c r="B18" s="1"/>
      <c r="C18" s="1"/>
      <c r="D18" s="1"/>
      <c r="E18" s="1"/>
    </row>
    <row r="19" spans="1:5" x14ac:dyDescent="0.25">
      <c r="A19" s="1"/>
      <c r="B19" s="75" t="s">
        <v>205</v>
      </c>
      <c r="C19" s="76"/>
      <c r="D19" s="77"/>
      <c r="E19" s="1"/>
    </row>
    <row r="20" spans="1:5" x14ac:dyDescent="0.25">
      <c r="A20" s="1"/>
      <c r="B20" s="65" t="s">
        <v>206</v>
      </c>
      <c r="C20" s="9">
        <v>30156669.411859259</v>
      </c>
      <c r="D20" s="14" t="s">
        <v>3</v>
      </c>
      <c r="E20" s="1"/>
    </row>
    <row r="21" spans="1:5" x14ac:dyDescent="0.25">
      <c r="A21" s="1"/>
      <c r="B21" s="65" t="s">
        <v>207</v>
      </c>
      <c r="C21" s="9">
        <v>30361913</v>
      </c>
      <c r="D21" s="14" t="s">
        <v>3</v>
      </c>
      <c r="E21" s="1"/>
    </row>
    <row r="22" spans="1:5" x14ac:dyDescent="0.25">
      <c r="A22" s="1"/>
      <c r="B22" s="65" t="s">
        <v>29</v>
      </c>
      <c r="C22" s="9">
        <v>0</v>
      </c>
      <c r="D22" s="14" t="s">
        <v>3</v>
      </c>
      <c r="E22" s="1"/>
    </row>
    <row r="23" spans="1:5" x14ac:dyDescent="0.25">
      <c r="A23" s="1"/>
      <c r="B23" s="81" t="s">
        <v>208</v>
      </c>
      <c r="C23" s="57">
        <f>C20-C21-C22</f>
        <v>-205243.58814074099</v>
      </c>
      <c r="D23" s="17" t="s">
        <v>3</v>
      </c>
      <c r="E23" s="1"/>
    </row>
    <row r="24" spans="1:5" x14ac:dyDescent="0.25">
      <c r="A24" s="1"/>
      <c r="B24" s="33"/>
      <c r="C24" s="28"/>
      <c r="D24" s="19"/>
      <c r="E24" s="1"/>
    </row>
    <row r="25" spans="1:5" x14ac:dyDescent="0.25">
      <c r="A25" s="1"/>
      <c r="B25" s="1"/>
      <c r="C25" s="1"/>
      <c r="D25" s="1"/>
      <c r="E25" s="1"/>
    </row>
    <row r="26" spans="1:5" x14ac:dyDescent="0.25">
      <c r="A26" s="1"/>
      <c r="B26" s="107" t="s">
        <v>209</v>
      </c>
      <c r="C26" s="108"/>
      <c r="D26" s="109"/>
      <c r="E26" s="1"/>
    </row>
    <row r="27" spans="1:5" x14ac:dyDescent="0.25">
      <c r="A27" s="1"/>
      <c r="B27" s="81" t="s">
        <v>210</v>
      </c>
      <c r="C27" s="57">
        <f>IF(AND(C15&lt;0,C23&gt;0,ABS(SUM(C14:C15))&lt;C23),ABS(C14),IF(AND(C15&lt;0,C23&gt;0,ABS(SUM(C14:C15))&gt;C23),SUM(C14,C23),C15))</f>
        <v>-306338</v>
      </c>
      <c r="D27" s="17" t="s">
        <v>3</v>
      </c>
      <c r="E27" s="1"/>
    </row>
    <row r="28" spans="1:5" x14ac:dyDescent="0.25">
      <c r="A28" s="1"/>
      <c r="B28" s="107"/>
      <c r="C28" s="108"/>
      <c r="D28" s="109"/>
      <c r="E28" s="1"/>
    </row>
    <row r="29" spans="1:5" x14ac:dyDescent="0.25">
      <c r="A29" s="1"/>
      <c r="B29" s="1"/>
      <c r="C29" s="1"/>
      <c r="D29" s="1"/>
      <c r="E29" s="1"/>
    </row>
    <row r="30" spans="1:5" x14ac:dyDescent="0.25">
      <c r="A30" s="1"/>
      <c r="B30" s="107" t="s">
        <v>211</v>
      </c>
      <c r="C30" s="108"/>
      <c r="D30" s="109"/>
      <c r="E30" s="1"/>
    </row>
    <row r="31" spans="1:5" x14ac:dyDescent="0.25">
      <c r="A31" s="1"/>
      <c r="B31" s="66" t="s">
        <v>69</v>
      </c>
      <c r="C31" s="58">
        <f>IF(AND(C9&gt;0,(C9+C23)&gt;0),0,IF(AND(C9&gt;0,(C9+C23)&lt;0),(C9+C23),IF(AND(C9&lt;0,C23&lt;0),C23,0)))</f>
        <v>-205243.58814074099</v>
      </c>
      <c r="D31" s="14" t="s">
        <v>3</v>
      </c>
      <c r="E31" s="1"/>
    </row>
    <row r="32" spans="1:5" x14ac:dyDescent="0.25">
      <c r="A32" s="1"/>
      <c r="B32" s="66" t="s">
        <v>49</v>
      </c>
      <c r="C32" s="9">
        <v>2</v>
      </c>
      <c r="D32" s="14" t="s">
        <v>20</v>
      </c>
      <c r="E32" s="1"/>
    </row>
    <row r="33" spans="1:5" x14ac:dyDescent="0.25">
      <c r="A33" s="1"/>
      <c r="B33" s="67" t="s">
        <v>70</v>
      </c>
      <c r="C33" s="57">
        <f>C31/C32</f>
        <v>-102621.7940703705</v>
      </c>
      <c r="D33" s="17" t="s">
        <v>3</v>
      </c>
      <c r="E33" s="1"/>
    </row>
    <row r="34" spans="1:5" x14ac:dyDescent="0.25">
      <c r="A34" s="1"/>
      <c r="B34" s="115"/>
      <c r="C34" s="116"/>
      <c r="D34" s="117"/>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E+2oQGhJf/9DJL9EZATskiwLtx+L33cTq9yvlwqqTSWB6b7Gx9RGBGOvg2ZkYmj6kal1MonvG+AuGOIylg6wmw==" saltValue="gqR0m8CYRd3VlD7cxcXZX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6" t="s">
        <v>101</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x14ac:dyDescent="0.25">
      <c r="A8" s="1"/>
      <c r="B8" s="107" t="s">
        <v>120</v>
      </c>
      <c r="C8" s="108"/>
      <c r="D8" s="109"/>
      <c r="E8" s="1"/>
    </row>
    <row r="9" spans="1:5" ht="15" customHeight="1" x14ac:dyDescent="0.25">
      <c r="A9" s="1"/>
      <c r="B9" s="121" t="s">
        <v>102</v>
      </c>
      <c r="C9" s="122"/>
      <c r="D9" s="123"/>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5"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Vt1XpYnM2tfbxfMxpfOdw3DQ2P7BNAPrUwTQJDO5S+3FwgdK7RSnAXXlj3B1/NMYnjJ/ImzIk4RHjYjVrynzSA==" saltValue="s/zQ92ljeSx+tqUW0HgTjw=="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170</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7" t="s">
        <v>171</v>
      </c>
      <c r="C8" s="108"/>
      <c r="D8" s="109"/>
      <c r="E8" s="1"/>
    </row>
    <row r="9" spans="1:5" ht="26.25" x14ac:dyDescent="0.25">
      <c r="A9" s="1"/>
      <c r="B9" s="78" t="s">
        <v>217</v>
      </c>
      <c r="C9" s="7"/>
      <c r="D9" s="8" t="s">
        <v>3</v>
      </c>
      <c r="E9" s="1"/>
    </row>
    <row r="10" spans="1:5" ht="14.25" customHeight="1" x14ac:dyDescent="0.25">
      <c r="A10" s="1"/>
      <c r="B10" s="65" t="s">
        <v>172</v>
      </c>
      <c r="C10" s="7"/>
      <c r="D10" s="8" t="s">
        <v>3</v>
      </c>
      <c r="E10" s="1"/>
    </row>
    <row r="11" spans="1:5" ht="14.25" customHeight="1" x14ac:dyDescent="0.25">
      <c r="A11" s="1"/>
      <c r="B11" s="81" t="s">
        <v>48</v>
      </c>
      <c r="C11" s="10">
        <f>C10-C9</f>
        <v>0</v>
      </c>
      <c r="D11" s="11" t="s">
        <v>3</v>
      </c>
      <c r="E11" s="1"/>
    </row>
    <row r="12" spans="1:5" ht="14.25" customHeight="1" x14ac:dyDescent="0.25">
      <c r="A12" s="1"/>
      <c r="B12" s="107" t="s">
        <v>219</v>
      </c>
      <c r="C12" s="108"/>
      <c r="D12" s="109"/>
      <c r="E12" s="1"/>
    </row>
    <row r="13" spans="1:5" ht="26.25" x14ac:dyDescent="0.25">
      <c r="A13" s="1"/>
      <c r="B13" s="78" t="s">
        <v>218</v>
      </c>
      <c r="C13" s="7"/>
      <c r="D13" s="8" t="s">
        <v>3</v>
      </c>
      <c r="E13" s="1"/>
    </row>
    <row r="14" spans="1:5" ht="14.25" customHeight="1" x14ac:dyDescent="0.25">
      <c r="A14" s="1"/>
      <c r="B14" s="65" t="s">
        <v>173</v>
      </c>
      <c r="C14" s="7"/>
      <c r="D14" s="8" t="s">
        <v>3</v>
      </c>
      <c r="E14" s="1"/>
    </row>
    <row r="15" spans="1:5" ht="14.25" customHeight="1" x14ac:dyDescent="0.25">
      <c r="A15" s="1"/>
      <c r="B15" s="81"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6rhCBKuPA+9UOA/55g/bBR3Rk2a3rRARLw6KfzDGYWyrK/+iZvNyD7t97ZpLO7tFmaVgJ7XjJlTrSicvmYmplg==" saltValue="2719OnGr/UmovpPgt7a4jQ=="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3" t="s">
        <v>113</v>
      </c>
      <c r="C3" s="103"/>
      <c r="D3" s="103"/>
      <c r="E3" s="103"/>
      <c r="F3" s="103"/>
      <c r="G3" s="103"/>
      <c r="H3" s="103"/>
      <c r="I3" s="103"/>
      <c r="J3" s="103"/>
      <c r="K3" s="103"/>
      <c r="L3" s="1"/>
    </row>
    <row r="4" spans="1:12" ht="15" customHeight="1" x14ac:dyDescent="0.25">
      <c r="A4" s="1"/>
      <c r="B4" s="103"/>
      <c r="C4" s="103"/>
      <c r="D4" s="103"/>
      <c r="E4" s="103"/>
      <c r="F4" s="103"/>
      <c r="G4" s="103"/>
      <c r="H4" s="103"/>
      <c r="I4" s="103"/>
      <c r="J4" s="103"/>
      <c r="K4" s="10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7" t="s">
        <v>86</v>
      </c>
      <c r="C8" s="108"/>
      <c r="D8" s="108"/>
      <c r="E8" s="108"/>
      <c r="F8" s="108"/>
      <c r="G8" s="108"/>
      <c r="H8" s="108"/>
      <c r="I8" s="108"/>
      <c r="J8" s="108"/>
      <c r="K8" s="109"/>
      <c r="L8" s="1"/>
    </row>
    <row r="9" spans="1:12" ht="39.75" customHeight="1" x14ac:dyDescent="0.25">
      <c r="A9" s="1"/>
      <c r="B9" s="18" t="s">
        <v>0</v>
      </c>
      <c r="C9" s="18" t="s">
        <v>1</v>
      </c>
      <c r="D9" s="124" t="s">
        <v>96</v>
      </c>
      <c r="E9" s="125"/>
      <c r="F9" s="124" t="s">
        <v>2</v>
      </c>
      <c r="G9" s="125"/>
      <c r="H9" s="124" t="s">
        <v>95</v>
      </c>
      <c r="I9" s="125"/>
      <c r="J9" s="124" t="s">
        <v>26</v>
      </c>
      <c r="K9" s="125"/>
      <c r="L9" s="1"/>
    </row>
    <row r="10" spans="1:12" x14ac:dyDescent="0.25">
      <c r="A10" s="1"/>
      <c r="B10" s="68" t="s">
        <v>224</v>
      </c>
      <c r="C10" s="42">
        <v>0</v>
      </c>
      <c r="D10" s="9">
        <v>0</v>
      </c>
      <c r="E10" s="14" t="s">
        <v>3</v>
      </c>
      <c r="F10" s="9">
        <f>IFERROR(D10/C10,0)</f>
        <v>0</v>
      </c>
      <c r="G10" s="14" t="s">
        <v>3</v>
      </c>
      <c r="H10" s="38">
        <v>0</v>
      </c>
      <c r="I10" s="14" t="s">
        <v>3</v>
      </c>
      <c r="J10" s="38">
        <v>0</v>
      </c>
      <c r="K10" s="14" t="s">
        <v>3</v>
      </c>
      <c r="L10" s="1"/>
    </row>
    <row r="11" spans="1:12" x14ac:dyDescent="0.25">
      <c r="A11" s="1"/>
      <c r="B11" s="75" t="s">
        <v>221</v>
      </c>
      <c r="C11" s="76"/>
      <c r="D11" s="77"/>
      <c r="E11" s="77"/>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p/DBGzO9BqZ4lqnWlRQOiASki6WrRAc1lII4slfeP9vd4XFru9E3VGohaohegDejS4w4Lz1802ei4g9MuRpFgQ==" saltValue="V6tAD+UvHt4Umk7xrBPf0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114</v>
      </c>
      <c r="C3" s="103"/>
      <c r="D3" s="103"/>
      <c r="E3" s="103"/>
      <c r="F3" s="103"/>
      <c r="G3" s="1"/>
    </row>
    <row r="4" spans="1:7" ht="1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79" t="s">
        <v>17</v>
      </c>
      <c r="C9" s="81" t="s">
        <v>11</v>
      </c>
      <c r="D9" s="80"/>
      <c r="E9" s="81"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229</v>
      </c>
      <c r="C11" s="21">
        <v>536641</v>
      </c>
      <c r="D11" s="14" t="s">
        <v>3</v>
      </c>
      <c r="E11" s="9">
        <v>0</v>
      </c>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536641</v>
      </c>
      <c r="D19" s="13" t="s">
        <v>3</v>
      </c>
      <c r="E19" s="12">
        <f>SUM(E10:E18)</f>
        <v>0</v>
      </c>
      <c r="F19" s="13" t="s">
        <v>3</v>
      </c>
      <c r="G19" s="1"/>
    </row>
    <row r="20" spans="1:7" x14ac:dyDescent="0.25">
      <c r="A20" s="1"/>
      <c r="B20" s="33" t="s">
        <v>175</v>
      </c>
      <c r="C20" s="12">
        <f>C19*(1+'Fane 15. Nøgletal'!C10)</f>
        <v>572220.29830000002</v>
      </c>
      <c r="D20" s="13" t="s">
        <v>3</v>
      </c>
      <c r="E20" s="12">
        <f>E19*(1+'Fane 15. Nøgletal'!C10)</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6KVlxpt3ZN2lgJPY7Bovwr8J8bjR3pPHaqlf/+4O0O4XQtntk468Y4nv9MvhgHV7xz5KYlOYO4zdbdm84edsA==" saltValue="Jjv8gsY1dlPALeGU5bPG/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115</v>
      </c>
      <c r="C3" s="103"/>
      <c r="D3" s="103"/>
      <c r="E3" s="103"/>
      <c r="F3" s="103"/>
      <c r="G3" s="1"/>
    </row>
    <row r="4" spans="1:7" ht="1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7" t="s">
        <v>176</v>
      </c>
      <c r="C8" s="108"/>
      <c r="D8" s="108"/>
      <c r="E8" s="108"/>
      <c r="F8" s="109"/>
      <c r="G8" s="1"/>
    </row>
    <row r="9" spans="1:7" x14ac:dyDescent="0.25">
      <c r="A9" s="1"/>
      <c r="B9" s="79" t="s">
        <v>17</v>
      </c>
      <c r="C9" s="81" t="s">
        <v>11</v>
      </c>
      <c r="D9" s="80"/>
      <c r="E9" s="81" t="s">
        <v>27</v>
      </c>
      <c r="F9" s="32"/>
      <c r="G9" s="1"/>
    </row>
    <row r="10" spans="1:7" x14ac:dyDescent="0.25">
      <c r="A10" s="1"/>
      <c r="B10" s="24" t="s">
        <v>230</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6"/>
      <c r="C16" s="126"/>
      <c r="D16" s="126"/>
      <c r="E16" s="126"/>
      <c r="F16" s="126"/>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6"/>
      <c r="C29" s="126"/>
      <c r="D29" s="126"/>
      <c r="E29" s="126"/>
      <c r="F29" s="126"/>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GPwRu7tcRNk9kHy/m4JIW5MLDHQsasfn7W8TAifl9IugmppG0O32lLKZtBn18C+gWFxJ5dV5e7VSMILaG73X8Q==" saltValue="mKUiMIqoS6+1APldTAcGxA=="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116</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ht="14.25" customHeight="1" x14ac:dyDescent="0.25">
      <c r="A8" s="1"/>
      <c r="B8" s="107" t="s">
        <v>73</v>
      </c>
      <c r="C8" s="108"/>
      <c r="D8" s="109"/>
      <c r="E8" s="1"/>
    </row>
    <row r="9" spans="1:5" x14ac:dyDescent="0.25">
      <c r="A9" s="1"/>
      <c r="B9" s="68" t="s">
        <v>179</v>
      </c>
      <c r="C9" s="9"/>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5" t="s">
        <v>74</v>
      </c>
      <c r="C12" s="12">
        <f>SUM(C9:C11)*(1+'Fane 15. Nøgletal'!C9)^2</f>
        <v>0</v>
      </c>
      <c r="D12" s="13" t="s">
        <v>3</v>
      </c>
      <c r="E12" s="1"/>
    </row>
    <row r="13" spans="1:5" x14ac:dyDescent="0.25">
      <c r="A13" s="1"/>
      <c r="B13" s="1"/>
      <c r="C13" s="1"/>
      <c r="D13" s="1"/>
      <c r="E13" s="1"/>
    </row>
    <row r="14" spans="1:5" ht="15" customHeight="1" x14ac:dyDescent="0.25">
      <c r="A14" s="1"/>
      <c r="B14" s="107" t="s">
        <v>84</v>
      </c>
      <c r="C14" s="108"/>
      <c r="D14" s="109"/>
      <c r="E14" s="1"/>
    </row>
    <row r="15" spans="1:5" x14ac:dyDescent="0.25">
      <c r="A15" s="1"/>
      <c r="B15" s="68" t="s">
        <v>179</v>
      </c>
      <c r="C15" s="9"/>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5" t="s">
        <v>85</v>
      </c>
      <c r="C18" s="12">
        <f>SUM(C15:C17)*(1+'Fane 15. Nøgletal'!C10)^3</f>
        <v>0</v>
      </c>
      <c r="D18" s="13" t="s">
        <v>3</v>
      </c>
      <c r="E18" s="1"/>
    </row>
    <row r="19" spans="1:5" x14ac:dyDescent="0.25">
      <c r="A19" s="1"/>
      <c r="B19" s="1"/>
      <c r="C19" s="1"/>
      <c r="D19" s="1"/>
      <c r="E19" s="1"/>
    </row>
    <row r="20" spans="1:5" ht="15" customHeight="1" x14ac:dyDescent="0.25">
      <c r="A20" s="1"/>
      <c r="B20" s="107" t="s">
        <v>140</v>
      </c>
      <c r="C20" s="108"/>
      <c r="D20" s="109"/>
      <c r="E20" s="1"/>
    </row>
    <row r="21" spans="1:5" x14ac:dyDescent="0.25">
      <c r="A21" s="1"/>
      <c r="B21" s="68" t="s">
        <v>179</v>
      </c>
      <c r="C21" s="9"/>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5" t="s">
        <v>141</v>
      </c>
      <c r="C24" s="12">
        <f>SUM(C21:C23)*(1+'Fane 15. Nøgletal'!C10)^4</f>
        <v>0</v>
      </c>
      <c r="D24" s="13" t="s">
        <v>3</v>
      </c>
      <c r="E24" s="1"/>
    </row>
    <row r="25" spans="1:5" x14ac:dyDescent="0.25">
      <c r="A25" s="1"/>
      <c r="B25" s="1"/>
      <c r="C25" s="1"/>
      <c r="D25" s="1"/>
      <c r="E25" s="1"/>
    </row>
    <row r="26" spans="1:5" ht="15" customHeight="1" x14ac:dyDescent="0.25">
      <c r="A26" s="1"/>
      <c r="B26" s="107" t="s">
        <v>180</v>
      </c>
      <c r="C26" s="108"/>
      <c r="D26" s="109"/>
      <c r="E26" s="1"/>
    </row>
    <row r="27" spans="1:5" ht="14.25" customHeight="1" x14ac:dyDescent="0.25">
      <c r="A27" s="1"/>
      <c r="B27" s="68" t="s">
        <v>179</v>
      </c>
      <c r="C27" s="9"/>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5" t="s">
        <v>181</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Z76Rx/MpU2r6cYB79Uygcir4BXT7r9PUo2dQ8vK14wCV4eTDEf3DWiLl1z5EItk9AGVGLx4eRYmyHMup9aX/lg==" saltValue="UStSwuknDBlcARGrPfUtqw=="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117</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x14ac:dyDescent="0.25">
      <c r="A8" s="1"/>
      <c r="B8" s="107" t="s">
        <v>66</v>
      </c>
      <c r="C8" s="108"/>
      <c r="D8" s="108"/>
      <c r="E8" s="108"/>
      <c r="F8" s="109"/>
      <c r="G8" s="1"/>
    </row>
    <row r="9" spans="1:7" ht="15" customHeight="1" x14ac:dyDescent="0.25">
      <c r="A9" s="1"/>
      <c r="B9" s="31" t="s">
        <v>67</v>
      </c>
      <c r="C9" s="27" t="s">
        <v>11</v>
      </c>
      <c r="D9" s="32"/>
      <c r="E9" s="27" t="s">
        <v>27</v>
      </c>
      <c r="F9" s="32"/>
      <c r="G9" s="1"/>
    </row>
    <row r="10" spans="1:7" ht="26.25" x14ac:dyDescent="0.25">
      <c r="A10" s="1"/>
      <c r="B10" s="70" t="s">
        <v>222</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MkGJiMJZ2dKck4CS3v4X8SVUVJxN6cFc98WXE7ltCdt9GVLsY4KeUufL7yudzHT4omMQ8UmwIWCnf+rhVofnIw==" saltValue="rgaTKCRFT74DxLgg0DWayA=="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118</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7" t="s">
        <v>183</v>
      </c>
      <c r="C8" s="108"/>
      <c r="D8" s="108"/>
      <c r="E8" s="108"/>
      <c r="F8" s="109"/>
      <c r="G8" s="1"/>
    </row>
    <row r="9" spans="1:7" x14ac:dyDescent="0.25">
      <c r="A9" s="1"/>
      <c r="B9" s="31" t="s">
        <v>18</v>
      </c>
      <c r="C9" s="127" t="s">
        <v>11</v>
      </c>
      <c r="D9" s="128"/>
      <c r="E9" s="127" t="s">
        <v>27</v>
      </c>
      <c r="F9" s="128"/>
      <c r="G9" s="1"/>
    </row>
    <row r="10" spans="1:7" x14ac:dyDescent="0.25">
      <c r="A10" s="1"/>
      <c r="B10" s="70" t="s">
        <v>223</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6"/>
      <c r="C14" s="126"/>
      <c r="D14" s="126"/>
      <c r="E14" s="126"/>
      <c r="F14" s="126"/>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6"/>
      <c r="C21" s="126"/>
      <c r="D21" s="126"/>
      <c r="E21" s="126"/>
      <c r="F21" s="126"/>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6"/>
      <c r="C27" s="126"/>
      <c r="D27" s="126"/>
      <c r="E27" s="126"/>
      <c r="F27" s="126"/>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b0Xr2ULm5awhRnZbVqpeYeMlicamGMSb1DWbo4VmYocjyZk2oOJRD1uBV47MJM3gR68tM1yDLD2oUIotElM3uQ==" saltValue="l8fkr+uhfOj7LX1dccp1Ag=="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155</v>
      </c>
      <c r="C3" s="103"/>
      <c r="D3" s="103"/>
      <c r="E3" s="1"/>
    </row>
    <row r="4" spans="1:5" ht="15" customHeight="1" x14ac:dyDescent="0.25">
      <c r="A4" s="1"/>
      <c r="B4" s="103"/>
      <c r="C4" s="103"/>
      <c r="D4" s="10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30191321.12561883</v>
      </c>
      <c r="D9" s="8" t="s">
        <v>3</v>
      </c>
      <c r="E9" s="1"/>
    </row>
    <row r="10" spans="1:5" ht="17.25" customHeight="1" x14ac:dyDescent="0.25">
      <c r="A10" s="1"/>
      <c r="B10" s="64" t="s">
        <v>35</v>
      </c>
      <c r="C10" s="7">
        <f>'Fane 11.1. Varige tillæg'!C20</f>
        <v>572220.29830000002</v>
      </c>
      <c r="D10" s="8" t="s">
        <v>3</v>
      </c>
      <c r="E10" s="1"/>
    </row>
    <row r="11" spans="1:5" ht="17.25" customHeight="1" x14ac:dyDescent="0.25">
      <c r="A11" s="1"/>
      <c r="B11" s="64" t="s">
        <v>36</v>
      </c>
      <c r="C11" s="9">
        <f>'Fane 11.1. Varige tillæg'!E20</f>
        <v>0</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2477396.9527272913</v>
      </c>
      <c r="D16" s="8" t="s">
        <v>3</v>
      </c>
      <c r="E16" s="1"/>
    </row>
    <row r="17" spans="1:5" ht="17.25" customHeight="1" x14ac:dyDescent="0.25">
      <c r="A17" s="1"/>
      <c r="B17" s="64" t="s">
        <v>10</v>
      </c>
      <c r="C17" s="38">
        <f>-SUM(C9,C10:C16)*'Fane 5. Individuelt eff. krav'!C9</f>
        <v>-536243.40912037506</v>
      </c>
      <c r="D17" s="8" t="s">
        <v>3</v>
      </c>
      <c r="E17" s="1"/>
    </row>
    <row r="18" spans="1:5" ht="17.25" customHeight="1" x14ac:dyDescent="0.25">
      <c r="A18" s="1"/>
      <c r="B18" s="64" t="s">
        <v>22</v>
      </c>
      <c r="C18" s="38">
        <f>-'Fane 4.1. Gen. krav - drift'!C17</f>
        <v>-356805.90250400902</v>
      </c>
      <c r="D18" s="8" t="s">
        <v>3</v>
      </c>
      <c r="E18" s="1"/>
    </row>
    <row r="19" spans="1:5" ht="17.25" customHeight="1" x14ac:dyDescent="0.25">
      <c r="A19" s="1"/>
      <c r="B19" s="64" t="s">
        <v>23</v>
      </c>
      <c r="C19" s="38">
        <f>-'Fane 4.2. Gen. krav - anlæg'!C17</f>
        <v>0</v>
      </c>
      <c r="D19" s="8" t="s">
        <v>3</v>
      </c>
      <c r="E19" s="43"/>
    </row>
    <row r="20" spans="1:5" ht="17.25" customHeight="1" x14ac:dyDescent="0.25">
      <c r="A20" s="1"/>
      <c r="B20" s="81" t="s">
        <v>21</v>
      </c>
      <c r="C20" s="10">
        <f>SUM(C9:C19)</f>
        <v>32347889.065021742</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1989155.7677239601</v>
      </c>
      <c r="D22" s="11" t="s">
        <v>3</v>
      </c>
      <c r="E22" s="1"/>
    </row>
    <row r="23" spans="1:5" ht="15" customHeight="1" x14ac:dyDescent="0.25">
      <c r="A23" s="1"/>
      <c r="B23" s="33" t="s">
        <v>42</v>
      </c>
      <c r="C23" s="28"/>
      <c r="D23" s="19"/>
      <c r="E23" s="1"/>
    </row>
    <row r="24" spans="1:5" ht="15" customHeight="1" x14ac:dyDescent="0.25">
      <c r="A24" s="1"/>
      <c r="B24" s="81" t="s">
        <v>42</v>
      </c>
      <c r="C24" s="10">
        <f>'Fane 12. Periodevise driftsomk.'!C12</f>
        <v>0</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-306338</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34030706.832745701</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5rZn9iPEcpnv2n41Y5a2iTUq50iNbmYM61OJvXnunyZzpH4bnJMvLEJC2zpPWxfR8k6g2ojxBROezQjv4RDT8g==" saltValue="U57i1YzVQ/sywsnncQd8c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119</v>
      </c>
      <c r="C3" s="106"/>
      <c r="D3" s="1"/>
    </row>
    <row r="4" spans="1:4" ht="15" customHeight="1" x14ac:dyDescent="0.25">
      <c r="A4" s="1"/>
      <c r="B4" s="106"/>
      <c r="C4" s="106"/>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226</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215</v>
      </c>
      <c r="C15" s="60">
        <v>0</v>
      </c>
      <c r="D15" s="1"/>
    </row>
    <row r="16" spans="1:4" x14ac:dyDescent="0.25">
      <c r="A16" s="1"/>
      <c r="B16" s="59" t="s">
        <v>227</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pxf46KSuiPLjZMKddRJbmZw5hVakHQ6nYNRMflJsOy2MDrz20q3mGcl9VZKWzXqgyCpEHQvMeXYhKRJCYnNljA==" saltValue="7K9o8QM9+ttnFCfKQvyZF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156</v>
      </c>
      <c r="C3" s="103"/>
      <c r="D3" s="103"/>
      <c r="E3" s="1"/>
    </row>
    <row r="4" spans="1:5" ht="15" customHeight="1" x14ac:dyDescent="0.25">
      <c r="A4" s="1"/>
      <c r="B4" s="103"/>
      <c r="C4" s="103"/>
      <c r="D4" s="103"/>
      <c r="E4" s="1"/>
    </row>
    <row r="5" spans="1:5" x14ac:dyDescent="0.25">
      <c r="A5" s="1"/>
      <c r="B5" s="104" t="s">
        <v>144</v>
      </c>
      <c r="C5" s="104"/>
      <c r="D5" s="104"/>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32347889.065021742</v>
      </c>
      <c r="D9" s="8" t="s">
        <v>3</v>
      </c>
      <c r="E9" s="1"/>
    </row>
    <row r="10" spans="1:5" ht="15" customHeight="1" x14ac:dyDescent="0.25">
      <c r="A10" s="1"/>
      <c r="B10" s="26" t="s">
        <v>19</v>
      </c>
      <c r="C10" s="7">
        <f>C9*'Fane 15. Nøgletal'!C10</f>
        <v>2144665.0450109416</v>
      </c>
      <c r="D10" s="8" t="s">
        <v>3</v>
      </c>
      <c r="E10" s="1"/>
    </row>
    <row r="11" spans="1:5" ht="15" customHeight="1" x14ac:dyDescent="0.25">
      <c r="A11" s="1"/>
      <c r="B11" s="26" t="s">
        <v>10</v>
      </c>
      <c r="C11" s="9">
        <f>-SUM(C9:C10)*'Fane 5. Individuelt eff. krav'!C9</f>
        <v>-556434.49639279244</v>
      </c>
      <c r="D11" s="8" t="s">
        <v>3</v>
      </c>
      <c r="E11" s="1"/>
    </row>
    <row r="12" spans="1:5" ht="15" customHeight="1" x14ac:dyDescent="0.25">
      <c r="A12" s="1"/>
      <c r="B12" s="26" t="s">
        <v>22</v>
      </c>
      <c r="C12" s="9">
        <f>-'Fane 4.1. Gen. krav - drift'!C22</f>
        <v>-372852.89116322435</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33563266.722476669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2121036.7951240586</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driftsomk.'!C18</f>
        <v>0</v>
      </c>
      <c r="D18" s="11" t="s">
        <v>3</v>
      </c>
      <c r="E18" s="1"/>
    </row>
    <row r="19" spans="1:5" x14ac:dyDescent="0.25">
      <c r="A19" s="1"/>
      <c r="B19" s="33" t="s">
        <v>69</v>
      </c>
      <c r="C19" s="28"/>
      <c r="D19" s="19"/>
      <c r="E19" s="1"/>
    </row>
    <row r="20" spans="1:5" ht="15" customHeight="1" x14ac:dyDescent="0.25">
      <c r="A20" s="1"/>
      <c r="B20" s="31" t="s">
        <v>79</v>
      </c>
      <c r="C20" s="10">
        <f>'Fane 7. Kontrol af ØR2023'!C33</f>
        <v>-102621.7940703705</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35581681.72353036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FtxwD5VDuF7ljSFDKwzMTTOHkWjuBuk/x7FtfTjtDkZYR5v6Aeom3/wz6M7JMWdakVgEEWVF1rMgvrYV6tTROw==" saltValue="mnkPUT23XPzF4mH0mEzu8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157</v>
      </c>
      <c r="C3" s="103"/>
      <c r="D3" s="103"/>
      <c r="E3" s="1"/>
    </row>
    <row r="4" spans="1:5" ht="15" customHeight="1" x14ac:dyDescent="0.25">
      <c r="A4" s="1"/>
      <c r="B4" s="103"/>
      <c r="C4" s="103"/>
      <c r="D4" s="103"/>
      <c r="E4" s="1"/>
    </row>
    <row r="5" spans="1:5" x14ac:dyDescent="0.25">
      <c r="A5" s="1"/>
      <c r="B5" s="104" t="s">
        <v>144</v>
      </c>
      <c r="C5" s="104"/>
      <c r="D5" s="104"/>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33563266.722476669</v>
      </c>
      <c r="D9" s="8" t="s">
        <v>3</v>
      </c>
      <c r="E9" s="1"/>
    </row>
    <row r="10" spans="1:5" ht="15" customHeight="1" x14ac:dyDescent="0.25">
      <c r="A10" s="1"/>
      <c r="B10" s="26" t="s">
        <v>19</v>
      </c>
      <c r="C10" s="7">
        <f>SUM(C9:C9)*'Fane 15. Nøgletal'!C10</f>
        <v>2225244.5837002029</v>
      </c>
      <c r="D10" s="8" t="s">
        <v>3</v>
      </c>
      <c r="E10" s="1"/>
    </row>
    <row r="11" spans="1:5" ht="15" customHeight="1" x14ac:dyDescent="0.25">
      <c r="A11" s="1"/>
      <c r="B11" s="26" t="s">
        <v>10</v>
      </c>
      <c r="C11" s="9">
        <f>-SUM(C9:C10)*'Fane 5. Individuelt eff. krav'!C9</f>
        <v>-577340.90093107964</v>
      </c>
      <c r="D11" s="8" t="s">
        <v>3</v>
      </c>
      <c r="E11" s="1"/>
    </row>
    <row r="12" spans="1:5" ht="15" customHeight="1" x14ac:dyDescent="0.25">
      <c r="A12" s="1"/>
      <c r="B12" s="26" t="s">
        <v>22</v>
      </c>
      <c r="C12" s="9">
        <f>-'Fane 4.1. Gen. krav - drift'!C27</f>
        <v>-389621.57709039922</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34821548.828155391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2261661.5346407839</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driftsomk.'!C24</f>
        <v>0</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-102621.7940703705</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36980588.568725802</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aOq63R2tZu+Il02MY1AFsXXUCCuegh/bGtF7pC0dcPMq36MdT2OBTZ5eh0ZEmTcyMgq7qATlAkiTXlmpiej2Q==" saltValue="pQF0abjJ+Phwkb86hhaan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158</v>
      </c>
      <c r="C3" s="103"/>
      <c r="D3" s="103"/>
      <c r="E3" s="1"/>
    </row>
    <row r="4" spans="1:5" ht="15" customHeight="1" x14ac:dyDescent="0.25">
      <c r="A4" s="1"/>
      <c r="B4" s="103"/>
      <c r="C4" s="103"/>
      <c r="D4" s="103"/>
      <c r="E4" s="1"/>
    </row>
    <row r="5" spans="1:5" x14ac:dyDescent="0.25">
      <c r="A5" s="1"/>
      <c r="B5" s="104" t="s">
        <v>144</v>
      </c>
      <c r="C5" s="104"/>
      <c r="D5" s="104"/>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34821548.828155391</v>
      </c>
      <c r="D9" s="8" t="s">
        <v>3</v>
      </c>
      <c r="E9" s="1"/>
    </row>
    <row r="10" spans="1:5" ht="15" customHeight="1" x14ac:dyDescent="0.25">
      <c r="A10" s="1"/>
      <c r="B10" s="26" t="s">
        <v>19</v>
      </c>
      <c r="C10" s="7">
        <f>SUM(C9:C9)*'Fane 15. Nøgletal'!C10</f>
        <v>2308668.6873067021</v>
      </c>
      <c r="D10" s="8" t="s">
        <v>3</v>
      </c>
      <c r="E10" s="1"/>
    </row>
    <row r="11" spans="1:5" ht="15" customHeight="1" x14ac:dyDescent="0.25">
      <c r="A11" s="1"/>
      <c r="B11" s="26" t="s">
        <v>10</v>
      </c>
      <c r="C11" s="9">
        <f>-SUM(C9:C10)*'Fane 5. Individuelt eff. krav'!C9</f>
        <v>-598985.32936305692</v>
      </c>
      <c r="D11" s="8" t="s">
        <v>3</v>
      </c>
      <c r="E11" s="1"/>
    </row>
    <row r="12" spans="1:5" ht="15" customHeight="1" x14ac:dyDescent="0.25">
      <c r="A12" s="1"/>
      <c r="B12" s="26" t="s">
        <v>22</v>
      </c>
      <c r="C12" s="9">
        <f>-'Fane 4.1. Gen. krav - drift'!C32</f>
        <v>-407144.41789846285</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36124087.768200576</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2411609.694387468</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driftsomk.'!C30</f>
        <v>0</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38535697.462588042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7Iii8u//uKW7FzBrV2ImGMWIwpIXsiH6OVoX6q3KgKpziDgc5RzOR+EojkkjPvQQiOFgT04Et8BZrPWRxgbfg==" saltValue="ZUsPuYtlNmc7q6kdB+5fZ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6" t="s">
        <v>161</v>
      </c>
      <c r="C3" s="106"/>
      <c r="D3" s="106"/>
      <c r="E3" s="1"/>
    </row>
    <row r="4" spans="1:5" ht="15" customHeight="1" x14ac:dyDescent="0.25">
      <c r="A4" s="1"/>
      <c r="B4" s="106"/>
      <c r="C4" s="106"/>
      <c r="D4" s="106"/>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28560660.900090981</v>
      </c>
      <c r="D9" s="8" t="s">
        <v>3</v>
      </c>
      <c r="E9" s="1"/>
    </row>
    <row r="10" spans="1:5" ht="15" customHeight="1" x14ac:dyDescent="0.25">
      <c r="A10" s="1"/>
      <c r="B10" s="64" t="s">
        <v>35</v>
      </c>
      <c r="C10" s="7">
        <v>137558.82</v>
      </c>
      <c r="D10" s="8" t="s">
        <v>3</v>
      </c>
      <c r="E10" s="1"/>
    </row>
    <row r="11" spans="1:5" ht="15" customHeight="1" x14ac:dyDescent="0.25">
      <c r="A11" s="1"/>
      <c r="B11" s="64" t="s">
        <v>36</v>
      </c>
      <c r="C11" s="9">
        <v>0</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2318816.1533833514</v>
      </c>
      <c r="D16" s="8" t="s">
        <v>3</v>
      </c>
      <c r="E16" s="1"/>
    </row>
    <row r="17" spans="1:5" ht="15" customHeight="1" x14ac:dyDescent="0.25">
      <c r="A17" s="1"/>
      <c r="B17" s="64" t="s">
        <v>10</v>
      </c>
      <c r="C17" s="38">
        <v>-500367.37438454403</v>
      </c>
      <c r="D17" s="8" t="s">
        <v>3</v>
      </c>
      <c r="E17" s="1"/>
    </row>
    <row r="18" spans="1:5" ht="15" customHeight="1" x14ac:dyDescent="0.25">
      <c r="A18" s="1"/>
      <c r="B18" s="64" t="s">
        <v>22</v>
      </c>
      <c r="C18" s="38">
        <v>-325347.37347095803</v>
      </c>
      <c r="D18" s="8" t="s">
        <v>3</v>
      </c>
      <c r="E18" s="1"/>
    </row>
    <row r="19" spans="1:5" ht="15" customHeight="1" x14ac:dyDescent="0.25">
      <c r="A19" s="1"/>
      <c r="B19" s="64" t="s">
        <v>23</v>
      </c>
      <c r="C19" s="38">
        <v>0</v>
      </c>
      <c r="D19" s="8" t="s">
        <v>3</v>
      </c>
      <c r="E19" s="43"/>
    </row>
    <row r="20" spans="1:5" ht="15" customHeight="1" x14ac:dyDescent="0.25">
      <c r="A20" s="1"/>
      <c r="B20" s="81" t="s">
        <v>21</v>
      </c>
      <c r="C20" s="10">
        <v>30191321.12561883</v>
      </c>
      <c r="D20" s="11" t="s">
        <v>3</v>
      </c>
      <c r="E20" s="1"/>
    </row>
    <row r="21" spans="1:5" ht="15" customHeight="1" x14ac:dyDescent="0.25">
      <c r="A21" s="1"/>
      <c r="B21" s="33" t="s">
        <v>12</v>
      </c>
      <c r="C21" s="28"/>
      <c r="D21" s="19"/>
      <c r="E21" s="1"/>
    </row>
    <row r="22" spans="1:5" ht="15" customHeight="1" x14ac:dyDescent="0.25">
      <c r="A22" s="1"/>
      <c r="B22" s="31" t="s">
        <v>12</v>
      </c>
      <c r="C22" s="10">
        <v>983488.38651839993</v>
      </c>
      <c r="D22" s="11" t="s">
        <v>3</v>
      </c>
      <c r="E22" s="1"/>
    </row>
    <row r="23" spans="1:5" ht="15" customHeight="1" x14ac:dyDescent="0.25">
      <c r="A23" s="1"/>
      <c r="B23" s="33" t="s">
        <v>42</v>
      </c>
      <c r="C23" s="28"/>
      <c r="D23" s="19"/>
      <c r="E23" s="1"/>
    </row>
    <row r="24" spans="1:5" ht="15" customHeight="1" x14ac:dyDescent="0.25">
      <c r="A24" s="1"/>
      <c r="B24" s="81" t="s">
        <v>42</v>
      </c>
      <c r="C24" s="10">
        <v>0</v>
      </c>
      <c r="D24" s="11" t="s">
        <v>3</v>
      </c>
      <c r="E24" s="1"/>
    </row>
    <row r="25" spans="1:5" x14ac:dyDescent="0.25">
      <c r="A25" s="1"/>
      <c r="B25" s="41" t="s">
        <v>41</v>
      </c>
      <c r="C25" s="39"/>
      <c r="D25" s="40"/>
      <c r="E25" s="1"/>
    </row>
    <row r="26" spans="1:5" ht="15" customHeight="1" x14ac:dyDescent="0.25">
      <c r="A26" s="1"/>
      <c r="B26" s="64" t="s">
        <v>89</v>
      </c>
      <c r="C26" s="9">
        <v>0</v>
      </c>
      <c r="D26" s="8" t="s">
        <v>3</v>
      </c>
      <c r="E26" s="1"/>
    </row>
    <row r="27" spans="1:5" ht="15" customHeight="1" x14ac:dyDescent="0.25">
      <c r="A27" s="1"/>
      <c r="B27" s="64" t="s">
        <v>38</v>
      </c>
      <c r="C27" s="9">
        <v>0</v>
      </c>
      <c r="D27" s="8" t="s">
        <v>3</v>
      </c>
      <c r="E27" s="1"/>
    </row>
    <row r="28" spans="1:5" ht="15" customHeight="1" x14ac:dyDescent="0.25">
      <c r="A28" s="1"/>
      <c r="B28" s="64" t="s">
        <v>92</v>
      </c>
      <c r="C28" s="9">
        <v>0</v>
      </c>
      <c r="D28" s="8" t="s">
        <v>3</v>
      </c>
      <c r="E28" s="1"/>
    </row>
    <row r="29" spans="1:5" ht="15" customHeight="1" x14ac:dyDescent="0.25">
      <c r="A29" s="1"/>
      <c r="B29" s="64" t="s">
        <v>93</v>
      </c>
      <c r="C29" s="9">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-306338</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0" t="s">
        <v>213</v>
      </c>
      <c r="C37" s="28"/>
      <c r="D37" s="19"/>
      <c r="E37" s="1"/>
    </row>
    <row r="38" spans="1:5" x14ac:dyDescent="0.25">
      <c r="A38" s="1"/>
      <c r="B38" s="67" t="s">
        <v>214</v>
      </c>
      <c r="C38" s="10">
        <v>1216351.5837382919</v>
      </c>
      <c r="D38" s="11" t="s">
        <v>3</v>
      </c>
      <c r="E38" s="1"/>
    </row>
    <row r="39" spans="1:5" x14ac:dyDescent="0.25">
      <c r="A39" s="1"/>
      <c r="B39" s="33" t="s">
        <v>65</v>
      </c>
      <c r="C39" s="45">
        <v>32084823.095875524</v>
      </c>
      <c r="D39" s="30" t="s">
        <v>3</v>
      </c>
      <c r="E39" s="1"/>
    </row>
    <row r="40" spans="1:5" ht="30" customHeight="1" x14ac:dyDescent="0.25">
      <c r="A40" s="1"/>
      <c r="B40" s="105" t="s">
        <v>225</v>
      </c>
      <c r="C40" s="105"/>
      <c r="D40" s="105"/>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wNvcvnpgAfH02qPbe/D3ena4Z+oBLlnVZu1AEEWcgG+IcHjgK9fpmmIfBpRUnOQeDIflASDqeJzFt6k2lMwXFg==" saltValue="yzytvwgUFTEHZLPm4yadbA=="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6" t="s">
        <v>56</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4"/>
      <c r="C6" s="74"/>
      <c r="D6" s="74"/>
      <c r="E6" s="1"/>
    </row>
    <row r="7" spans="1:5" x14ac:dyDescent="0.25">
      <c r="A7" s="1"/>
      <c r="B7" s="1"/>
      <c r="C7" s="1"/>
      <c r="D7" s="1"/>
      <c r="E7" s="1"/>
    </row>
    <row r="8" spans="1:5" x14ac:dyDescent="0.25">
      <c r="A8" s="1"/>
      <c r="B8" s="107" t="s">
        <v>123</v>
      </c>
      <c r="C8" s="108"/>
      <c r="D8" s="109"/>
      <c r="E8" s="1"/>
    </row>
    <row r="9" spans="1:5" x14ac:dyDescent="0.25">
      <c r="A9" s="1"/>
      <c r="B9" s="65" t="s">
        <v>88</v>
      </c>
      <c r="C9" s="23">
        <v>16118695.100891903</v>
      </c>
      <c r="D9" s="14" t="s">
        <v>3</v>
      </c>
      <c r="E9" s="1"/>
    </row>
    <row r="10" spans="1:5" x14ac:dyDescent="0.25">
      <c r="A10" s="1"/>
      <c r="B10" s="65" t="s">
        <v>125</v>
      </c>
      <c r="C10" s="23">
        <f>('Fane 3. Omkostninger i ØR2024'!C10+'Fane 3. Omkostninger i ØR2024'!C12+'Fane 3. Omkostninger i ØR2024'!C14)*(1+'Fane 15. Nøgletal'!C9)</f>
        <v>148673.572656</v>
      </c>
      <c r="D10" s="14" t="s">
        <v>3</v>
      </c>
      <c r="E10" s="1"/>
    </row>
    <row r="11" spans="1:5" x14ac:dyDescent="0.25">
      <c r="A11" s="1"/>
      <c r="B11" s="65" t="s">
        <v>131</v>
      </c>
      <c r="C11" s="23">
        <f>C9*'Fane 15. Nøgletal'!C21+C10*'Fane 15. Nøgletal'!C21</f>
        <v>325347.37347095809</v>
      </c>
      <c r="D11" s="14" t="s">
        <v>3</v>
      </c>
      <c r="E11" s="1"/>
    </row>
    <row r="12" spans="1:5" x14ac:dyDescent="0.25">
      <c r="A12" s="1"/>
      <c r="B12" s="33"/>
      <c r="C12" s="28"/>
      <c r="D12" s="19"/>
      <c r="E12" s="1"/>
    </row>
    <row r="13" spans="1:5" x14ac:dyDescent="0.25">
      <c r="A13" s="1"/>
      <c r="B13" s="1"/>
      <c r="C13" s="1"/>
      <c r="D13" s="1"/>
      <c r="E13" s="1"/>
    </row>
    <row r="14" spans="1:5" x14ac:dyDescent="0.25">
      <c r="A14" s="1"/>
      <c r="B14" s="107" t="s">
        <v>124</v>
      </c>
      <c r="C14" s="108"/>
      <c r="D14" s="109"/>
      <c r="E14" s="1"/>
    </row>
    <row r="15" spans="1:5" x14ac:dyDescent="0.25">
      <c r="A15" s="1"/>
      <c r="B15" s="65" t="s">
        <v>133</v>
      </c>
      <c r="C15" s="23">
        <f>(C9+C10-C11)*(1+'Fane 15. Nøgletal'!C9)</f>
        <v>17230136.621123161</v>
      </c>
      <c r="D15" s="14" t="s">
        <v>3</v>
      </c>
      <c r="E15" s="1"/>
    </row>
    <row r="16" spans="1:5" x14ac:dyDescent="0.25">
      <c r="A16" s="1"/>
      <c r="B16" s="65" t="s">
        <v>184</v>
      </c>
      <c r="C16" s="23">
        <f>('Fane 2.1. Økonomisk ramme 2025'!C10+'Fane 2.1. Økonomisk ramme 2025'!C12+'Fane 2.1. Økonomisk ramme 2025'!C14)*(1+'Fane 15. Nøgletal'!C10)</f>
        <v>610158.50407729007</v>
      </c>
      <c r="D16" s="14" t="s">
        <v>3</v>
      </c>
      <c r="E16" s="1"/>
    </row>
    <row r="17" spans="1:5" x14ac:dyDescent="0.25">
      <c r="A17" s="1"/>
      <c r="B17" s="65" t="s">
        <v>132</v>
      </c>
      <c r="C17" s="23">
        <f>C15*'Fane 15. Nøgletal'!C21+C16*'Fane 15. Nøgletal'!C21</f>
        <v>356805.90250400902</v>
      </c>
      <c r="D17" s="14" t="s">
        <v>3</v>
      </c>
      <c r="E17" s="1"/>
    </row>
    <row r="18" spans="1:5" x14ac:dyDescent="0.25">
      <c r="A18" s="1"/>
      <c r="B18" s="33"/>
      <c r="C18" s="28"/>
      <c r="D18" s="19"/>
      <c r="E18" s="1"/>
    </row>
    <row r="19" spans="1:5" x14ac:dyDescent="0.25">
      <c r="A19" s="1"/>
      <c r="B19" s="1"/>
      <c r="C19" s="63"/>
      <c r="D19" s="1"/>
      <c r="E19" s="1"/>
    </row>
    <row r="20" spans="1:5" x14ac:dyDescent="0.25">
      <c r="A20" s="1"/>
      <c r="B20" s="107" t="s">
        <v>145</v>
      </c>
      <c r="C20" s="108"/>
      <c r="D20" s="109"/>
      <c r="E20" s="1"/>
    </row>
    <row r="21" spans="1:5" x14ac:dyDescent="0.25">
      <c r="A21" s="1"/>
      <c r="B21" s="65" t="s">
        <v>189</v>
      </c>
      <c r="C21" s="23">
        <f>(C15+C16-C17)*(1+'Fane 15. Nøgletal'!C10)</f>
        <v>18642644.558161218</v>
      </c>
      <c r="D21" s="14" t="s">
        <v>3</v>
      </c>
      <c r="E21" s="1"/>
    </row>
    <row r="22" spans="1:5" x14ac:dyDescent="0.25">
      <c r="A22" s="1"/>
      <c r="B22" s="65" t="s">
        <v>196</v>
      </c>
      <c r="C22" s="23">
        <f>C21*'Fane 15. Nøgletal'!C21</f>
        <v>372852.89116322435</v>
      </c>
      <c r="D22" s="14" t="s">
        <v>3</v>
      </c>
      <c r="E22" s="1"/>
    </row>
    <row r="23" spans="1:5" x14ac:dyDescent="0.25">
      <c r="A23" s="1"/>
      <c r="B23" s="33"/>
      <c r="C23" s="28"/>
      <c r="D23" s="19"/>
      <c r="E23" s="1"/>
    </row>
    <row r="24" spans="1:5" x14ac:dyDescent="0.25">
      <c r="A24" s="1"/>
      <c r="B24" s="1"/>
      <c r="C24" s="1"/>
      <c r="D24" s="1"/>
      <c r="E24" s="1"/>
    </row>
    <row r="25" spans="1:5" x14ac:dyDescent="0.25">
      <c r="A25" s="1"/>
      <c r="B25" s="107" t="s">
        <v>187</v>
      </c>
      <c r="C25" s="108"/>
      <c r="D25" s="109"/>
      <c r="E25" s="1"/>
    </row>
    <row r="26" spans="1:5" x14ac:dyDescent="0.25">
      <c r="A26" s="1"/>
      <c r="B26" s="65" t="s">
        <v>190</v>
      </c>
      <c r="C26" s="23">
        <f>(C21-C22)*(1+'Fane 15. Nøgletal'!C10)</f>
        <v>19481078.85451996</v>
      </c>
      <c r="D26" s="14" t="s">
        <v>3</v>
      </c>
      <c r="E26" s="1"/>
    </row>
    <row r="27" spans="1:5" x14ac:dyDescent="0.25">
      <c r="A27" s="1"/>
      <c r="B27" s="65" t="s">
        <v>194</v>
      </c>
      <c r="C27" s="23">
        <f>C26*'Fane 15. Nøgletal'!C21</f>
        <v>389621.57709039922</v>
      </c>
      <c r="D27" s="14" t="s">
        <v>3</v>
      </c>
      <c r="E27" s="1"/>
    </row>
    <row r="28" spans="1:5" x14ac:dyDescent="0.25">
      <c r="A28" s="1"/>
      <c r="B28" s="33"/>
      <c r="C28" s="28"/>
      <c r="D28" s="19"/>
      <c r="E28" s="1"/>
    </row>
    <row r="29" spans="1:5" x14ac:dyDescent="0.25">
      <c r="A29" s="1"/>
      <c r="B29" s="1"/>
      <c r="C29" s="1"/>
      <c r="D29" s="1"/>
      <c r="E29" s="1"/>
    </row>
    <row r="30" spans="1:5" x14ac:dyDescent="0.25">
      <c r="A30" s="1"/>
      <c r="B30" s="107" t="s">
        <v>188</v>
      </c>
      <c r="C30" s="108"/>
      <c r="D30" s="109"/>
      <c r="E30" s="1"/>
    </row>
    <row r="31" spans="1:5" x14ac:dyDescent="0.25">
      <c r="A31" s="1"/>
      <c r="B31" s="65" t="s">
        <v>191</v>
      </c>
      <c r="C31" s="23">
        <f>(C26-C27)*(1+'Fane 15. Nøgletal'!C10)</f>
        <v>20357220.894923143</v>
      </c>
      <c r="D31" s="14" t="s">
        <v>3</v>
      </c>
      <c r="E31" s="1"/>
    </row>
    <row r="32" spans="1:5" x14ac:dyDescent="0.25">
      <c r="A32" s="1"/>
      <c r="B32" s="65" t="s">
        <v>195</v>
      </c>
      <c r="C32" s="23">
        <f>C31*'Fane 15. Nøgletal'!C21</f>
        <v>407144.41789846285</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IrlNy4ZbTCMGUhiqUqQAVyasn6xAuOGGjxDsglE85Jfhbt4m2VRRm+En+NMtLD1drHOWdS/rvFGfFEDBIIUfzw==" saltValue="FKyU8B9P3KmNoi207bRl3A=="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0" t="s">
        <v>57</v>
      </c>
      <c r="C3" s="110"/>
      <c r="D3" s="110"/>
      <c r="E3" s="1"/>
    </row>
    <row r="4" spans="1:5" ht="15" customHeight="1" x14ac:dyDescent="0.25">
      <c r="A4" s="1"/>
      <c r="B4" s="110"/>
      <c r="C4" s="110"/>
      <c r="D4" s="110"/>
      <c r="E4" s="1"/>
    </row>
    <row r="5" spans="1:5" ht="15" customHeight="1" x14ac:dyDescent="0.25">
      <c r="A5" s="1"/>
      <c r="B5" s="110"/>
      <c r="C5" s="110"/>
      <c r="D5" s="110"/>
      <c r="E5" s="1"/>
    </row>
    <row r="6" spans="1:5" ht="15" customHeight="1" x14ac:dyDescent="0.35">
      <c r="A6" s="1"/>
      <c r="B6" s="69"/>
      <c r="C6" s="69"/>
      <c r="D6" s="69"/>
      <c r="E6" s="1"/>
    </row>
    <row r="7" spans="1:5" x14ac:dyDescent="0.25">
      <c r="A7" s="1"/>
      <c r="B7" s="1"/>
      <c r="C7" s="1"/>
      <c r="D7" s="1"/>
      <c r="E7" s="1"/>
    </row>
    <row r="8" spans="1:5" x14ac:dyDescent="0.25">
      <c r="A8" s="1"/>
      <c r="B8" s="107" t="s">
        <v>147</v>
      </c>
      <c r="C8" s="108"/>
      <c r="D8" s="109"/>
      <c r="E8" s="1"/>
    </row>
    <row r="9" spans="1:5" x14ac:dyDescent="0.25">
      <c r="A9" s="1"/>
      <c r="B9" s="65" t="s">
        <v>134</v>
      </c>
      <c r="C9" s="23">
        <v>16644793.74711789</v>
      </c>
      <c r="D9" s="14" t="s">
        <v>3</v>
      </c>
      <c r="E9" s="1"/>
    </row>
    <row r="10" spans="1:5" x14ac:dyDescent="0.25">
      <c r="A10" s="1"/>
      <c r="B10" s="65" t="s">
        <v>126</v>
      </c>
      <c r="C10" s="23">
        <f>('Fane 3. Omkostninger i ØR2024'!C11+'Fane 3. Omkostninger i ØR2024'!C13+'Fane 3. Omkostninger i ØR2024'!C15)*(1+'Fane 15. Nøgletal'!C9)</f>
        <v>0</v>
      </c>
      <c r="D10" s="14" t="s">
        <v>3</v>
      </c>
      <c r="E10" s="1"/>
    </row>
    <row r="11" spans="1:5" x14ac:dyDescent="0.25">
      <c r="A11" s="1"/>
      <c r="B11" s="65" t="s">
        <v>135</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7" t="s">
        <v>146</v>
      </c>
      <c r="C14" s="108"/>
      <c r="D14" s="109"/>
      <c r="E14" s="1"/>
    </row>
    <row r="15" spans="1:5" x14ac:dyDescent="0.25">
      <c r="A15" s="1"/>
      <c r="B15" s="65" t="s">
        <v>136</v>
      </c>
      <c r="C15" s="23">
        <f>(C9+C10-C11)*(1+'Fane 15. Nøgletal'!C9)</f>
        <v>17989693.081885014</v>
      </c>
      <c r="D15" s="14" t="s">
        <v>3</v>
      </c>
      <c r="E15" s="1"/>
    </row>
    <row r="16" spans="1:5" x14ac:dyDescent="0.25">
      <c r="A16" s="1"/>
      <c r="B16" s="65" t="s">
        <v>185</v>
      </c>
      <c r="C16" s="23">
        <f>('Fane 2.1. Økonomisk ramme 2025'!C11+'Fane 2.1. Økonomisk ramme 2025'!C13+'Fane 2.1. Økonomisk ramme 2025'!C15)*(1+'Fane 15. Nøgletal'!C10)</f>
        <v>0</v>
      </c>
      <c r="D16" s="14" t="s">
        <v>3</v>
      </c>
      <c r="E16" s="1"/>
    </row>
    <row r="17" spans="1:5" x14ac:dyDescent="0.25">
      <c r="A17" s="1"/>
      <c r="B17" s="65" t="s">
        <v>137</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7" t="s">
        <v>82</v>
      </c>
      <c r="C20" s="108"/>
      <c r="D20" s="109"/>
      <c r="E20" s="1"/>
    </row>
    <row r="21" spans="1:5" x14ac:dyDescent="0.25">
      <c r="A21" s="1"/>
      <c r="B21" s="65" t="s">
        <v>192</v>
      </c>
      <c r="C21" s="23">
        <f>(C15+C16-C17)*(1+'Fane 15. Nøgletal'!C10)</f>
        <v>19182409.733213991</v>
      </c>
      <c r="D21" s="14" t="s">
        <v>3</v>
      </c>
      <c r="E21" s="1"/>
    </row>
    <row r="22" spans="1:5" x14ac:dyDescent="0.25">
      <c r="A22" s="1"/>
      <c r="B22" s="65" t="s">
        <v>197</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7" t="s">
        <v>138</v>
      </c>
      <c r="C25" s="108"/>
      <c r="D25" s="109"/>
      <c r="E25" s="1"/>
    </row>
    <row r="26" spans="1:5" x14ac:dyDescent="0.25">
      <c r="A26" s="1"/>
      <c r="B26" s="65" t="s">
        <v>193</v>
      </c>
      <c r="C26" s="23">
        <f>(C21-C22)*(1+'Fane 15. Nøgletal'!C10)</f>
        <v>20454203.498526078</v>
      </c>
      <c r="D26" s="14" t="s">
        <v>3</v>
      </c>
      <c r="E26" s="1"/>
    </row>
    <row r="27" spans="1:5" x14ac:dyDescent="0.25">
      <c r="A27" s="1"/>
      <c r="B27" s="65" t="s">
        <v>198</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7" t="s">
        <v>163</v>
      </c>
      <c r="C30" s="108"/>
      <c r="D30" s="109"/>
      <c r="E30" s="1"/>
    </row>
    <row r="31" spans="1:5" x14ac:dyDescent="0.25">
      <c r="A31" s="1"/>
      <c r="B31" s="65" t="s">
        <v>200</v>
      </c>
      <c r="C31" s="23">
        <f>(C26-C27)*(1+'Fane 15. Nøgletal'!C10)</f>
        <v>21810317.190478358</v>
      </c>
      <c r="D31" s="14" t="s">
        <v>3</v>
      </c>
      <c r="E31" s="1"/>
    </row>
    <row r="32" spans="1:5" x14ac:dyDescent="0.25">
      <c r="A32" s="1"/>
      <c r="B32" s="65" t="s">
        <v>199</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5tDgoufuwidG4ZAr0XaHmzJADs9R6wj7QPtikYMWxsL/W6mk/5YPArjXIRZIjCheeW8biph20gG7rbC3vSxr4w==" saltValue="d4TJXNSqvEQGwAR9eadV5w=="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3" t="s">
        <v>44</v>
      </c>
      <c r="C3" s="103"/>
      <c r="D3" s="1"/>
    </row>
    <row r="4" spans="1:4" ht="15" customHeight="1" x14ac:dyDescent="0.25">
      <c r="A4" s="1"/>
      <c r="B4" s="103"/>
      <c r="C4" s="10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7" t="s">
        <v>10</v>
      </c>
      <c r="C8" s="109"/>
      <c r="D8" s="1"/>
    </row>
    <row r="9" spans="1:4" x14ac:dyDescent="0.25">
      <c r="A9" s="1"/>
      <c r="B9" s="65" t="s">
        <v>164</v>
      </c>
      <c r="C9" s="22">
        <v>1.6132017786150112E-2</v>
      </c>
      <c r="D9" s="1"/>
    </row>
    <row r="10" spans="1:4" x14ac:dyDescent="0.25">
      <c r="A10" s="1"/>
      <c r="B10" s="33"/>
      <c r="C10" s="19"/>
      <c r="D10" s="1"/>
    </row>
    <row r="11" spans="1:4" x14ac:dyDescent="0.25">
      <c r="A11" s="1"/>
      <c r="B11" s="111" t="s">
        <v>220</v>
      </c>
      <c r="C11" s="112"/>
      <c r="D11" s="1"/>
    </row>
    <row r="12" spans="1:4" x14ac:dyDescent="0.25">
      <c r="A12" s="1"/>
      <c r="B12" s="113"/>
      <c r="C12" s="114"/>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vcO8Gy9OoWe3L5s5cePEwjRRQfb0zyhBTK4eCEgLBFGc07Qlc8JRFGoobmco22wv+Qz3zRl6sKd2ANwKcRw00Q==" saltValue="KLUsGiCFUj4Oz3cdxtfr6w=="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2024-08-21T11:43:12Z</dcterms:modified>
</cp:coreProperties>
</file>