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Faxe Spildevand AS (S018)\ØR2024\"/>
    </mc:Choice>
  </mc:AlternateContent>
  <xr:revisionPtr revIDLastSave="0" documentId="13_ncr:1_{164AFA5E-FFDE-4077-9816-60EBC287BE9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C28" i="2" l="1"/>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<sst xmlns="http://schemas.openxmlformats.org/spreadsheetml/2006/main" count="656" uniqueCount="291">
  <si>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</si>
  <si>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</si>
  <si>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</si>
  <si>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</si>
  <si>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</si>
  <si>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</si>
  <si>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</si>
  <si>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</si>
  <si>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</si>
  <si>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</si>
  <si>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</si>
  <si>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</si>
  <si>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</si>
  <si>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</si>
  <si>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</si>
  <si>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</si>
  <si>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</si>
  <si>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</si>
  <si>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</si>
  <si>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</si>
  <si>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</si>
  <si>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</si>
  <si>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</si>
  <si>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</si>
  <si>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</si>
  <si>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</si>
  <si>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</si>
  <si>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</si>
  <si>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</si>
  <si>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</si>
  <si>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</si>
  <si>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</si>
  <si>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</si>
  <si>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</si>
  <si>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</si>
  <si>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</si>
  <si>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</si>
  <si>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</si>
  <si>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</si>
  <si>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</si>
  <si>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</si>
  <si>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</si>
  <si>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</si>
  <si>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</si>
  <si>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</si>
  <si>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</si>
  <si>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</si>
  <si>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</si>
  <si>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</si>
  <si>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</si>
  <si>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</si>
  <si>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</si>
  <si>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</si>
  <si>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</si>
  <si>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</si>
  <si>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</si>
  <si>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</si>
  <si>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</si>
  <si>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</si>
  <si>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</si>
  <si>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</si>
  <si>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</si>
  <si>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</si>
  <si>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</si>
  <si>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</si>
  <si>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</si>
  <si>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</si>
  <si>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</si>
  <si>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</si>
  <si>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</si>
  <si>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</si>
  <si>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</si>
  <si>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</si>
  <si>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</si>
  <si>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</si>
  <si>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</si>
  <si>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</si>
  <si>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</si>
  <si>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</si>
  <si>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</si>
  <si>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</si>
  <si>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</si>
  <si>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</si>
  <si>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</si>
  <si>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</si>
  <si>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</si>
  <si>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</si>
  <si>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</si>
  <si>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</si>
  <si>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</si>
  <si>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</si>
  <si>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</si>
  <si>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</si>
  <si>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</si>
  <si>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</si>
  <si>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</si>
  <si>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</si>
  <si>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</si>
  <si>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</si>
  <si>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</si>
  <si>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</si>
  <si>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</si>
  <si>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</si>
  <si>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</si>
  <si>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</si>
  <si>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</si>
  <si>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</si>
  <si>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</si>
  <si>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</si>
  <si>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</si>
  <si>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</si>
  <si>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</si>
  <si>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</si>
  <si>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</si>
  <si>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</si>
  <si>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</si>
  <si>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</si>
  <si>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</si>
  <si>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</si>
  <si>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</si>
  <si>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</si>
  <si>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</si>
  <si>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</si>
  <si>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</si>
  <si>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</si>
  <si>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</si>
  <si>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</si>
  <si>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</si>
  <si>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</si>
  <si>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</si>
  <si>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</si>
  <si>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</si>
  <si>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</si>
  <si>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</si>
  <si>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</si>
  <si>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</si>
  <si>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</si>
  <si>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</si>
  <si>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</si>
  <si>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</si>
  <si>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</si>
  <si>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</si>
  <si>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</si>
  <si>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</si>
  <si>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</si>
  <si>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</si>
  <si>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</si>
  <si>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</si>
  <si>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</si>
  <si>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</si>
  <si>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</si>
  <si>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</si>
  <si>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</si>
  <si>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</si>
  <si>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</si>
  <si>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</si>
  <si>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</si>
  <si>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</si>
  <si>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</si>
  <si>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</si>
  <si>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</si>
  <si>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</si>
  <si>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</si>
  <si>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</si>
  <si>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</si>
  <si>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</si>
  <si>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</si>
  <si>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</si>
  <si>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</si>
  <si>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</si>
  <si>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</si>
  <si>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</si>
  <si>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</si>
  <si>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</si>
  <si>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</si>
  <si>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</si>
  <si>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</si>
  <si>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</si>
  <si>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</si>
  <si>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</si>
  <si>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</si>
  <si>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</si>
  <si>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</si>
  <si>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</si>
  <si>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</si>
  <si>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</si>
  <si>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</si>
  <si>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</si>
  <si>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</si>
  <si>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</si>
  <si>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</si>
  <si>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</si>
  <si>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</si>
  <si>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</si>
  <si>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</si>
  <si>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</si>
  <si>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</si>
  <si>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</si>
  <si>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</si>
  <si>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</si>
  <si>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</si>
  <si>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</si>
  <si>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</si>
  <si>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</si>
  <si>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</si>
  <si>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</si>
  <si>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</si>
  <si>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</si>
  <si>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</si>
  <si>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</si>
  <si>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</si>
  <si>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</si>
  <si>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</si>
  <si>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</si>
  <si>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</si>
  <si>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</si>
  <si>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</si>
  <si>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</si>
  <si>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</si>
  <si>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</si>
  <si>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</si>
  <si>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</si>
  <si>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</si>
  <si>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</si>
  <si>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</si>
  <si>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</si>
  <si>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</si>
  <si>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</si>
  <si>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</si>
  <si>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</si>
  <si>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</si>
  <si>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</si>
  <si>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</si>
  <si>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</si>
  <si>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</si>
  <si>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</si>
  <si>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</si>
  <si>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</si>
  <si>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</si>
  <si>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</si>
  <si>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</si>
  <si>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</si>
  <si>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</si>
  <si>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</si>
  <si>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</si>
  <si>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</si>
  <si>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</si>
  <si>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</si>
  <si>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</si>
  <si>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</si>
  <si>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</si>
  <si>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</si>
  <si>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</si>
  <si>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</si>
  <si>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</si>
  <si>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</si>
  <si>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</si>
  <si>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</si>
  <si>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</si>
  <si>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</si>
  <si>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</si>
  <si>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</si>
  <si>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</si>
  <si>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</si>
  <si>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</si>
  <si>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</si>
  <si>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</si>
  <si>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</si>
  <si>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</si>
  <si>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</si>
  <si>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</si>
  <si>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</si>
  <si>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</si>
  <si>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</si>
  <si>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</si>
  <si>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</si>
  <si>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</si>
  <si>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</si>
  <si>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</si>
  <si>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</si>
  <si>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</si>
  <si>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</si>
  <si>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</si>
  <si>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</si>
  <si>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</si>
  <si>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</si>
  <si>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</si>
  <si>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Kloakseparering i Faxe kommune</t>
  </si>
  <si>
    <t>Opgradering af overløbsbygværker</t>
  </si>
  <si>
    <t>Opgradering af overløbsbygværker tidligere år</t>
  </si>
  <si>
    <t>Nye tilslutninger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</si>
</sst>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Jn8gV3cYpuvalgF8dibjoN17iboHVagkm5OSdYKgP2pguTpTcOihGKcLsDyZRqcmX6xu7u4QpbbW5d//5zZJzw==" saltValue="c07ZUPk5tCPOfplpODu9O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83458</v>
      </c>
      <c r="D10" s="14" t="s">
        <v>3</v>
      </c>
      <c r="E10" s="1"/>
      <c r="F10" s="1"/>
    </row>
    <row r="11" spans="1:6" ht="26.25" x14ac:dyDescent="0.25">
      <c r="A11" s="1"/>
      <c r="B11" s="29" t="s">
        <v>273</v>
      </c>
      <c r="C11" s="9">
        <v>16721206.199999999</v>
      </c>
      <c r="D11" s="14" t="s">
        <v>3</v>
      </c>
      <c r="E11" s="1"/>
      <c r="F11" s="1"/>
    </row>
    <row r="12" spans="1:6" x14ac:dyDescent="0.25">
      <c r="A12" s="1"/>
      <c r="B12" s="81" t="s">
        <v>274</v>
      </c>
      <c r="C12" s="9">
        <v>123992.19</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16928656.390000001</v>
      </c>
      <c r="D20" s="13" t="s">
        <v>3</v>
      </c>
      <c r="E20" s="1"/>
      <c r="F20" s="1"/>
    </row>
    <row r="21" spans="1:6" x14ac:dyDescent="0.25">
      <c r="A21" s="1"/>
      <c r="B21" s="33" t="s">
        <v>227</v>
      </c>
      <c r="C21" s="12">
        <f>C20*(1+'Fane 15. Nøgletal'!C16)^2</f>
        <v>19774848.365878008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191681</v>
      </c>
      <c r="D33" s="14" t="s">
        <v>3</v>
      </c>
      <c r="E33" s="1"/>
      <c r="F33" s="1"/>
    </row>
    <row r="34" spans="1:6" x14ac:dyDescent="0.25">
      <c r="A34" s="1"/>
      <c r="B34" s="81" t="s">
        <v>123</v>
      </c>
      <c r="C34" s="9">
        <v>191681</v>
      </c>
      <c r="D34" s="14" t="s">
        <v>3</v>
      </c>
      <c r="E34" s="1"/>
      <c r="F34" s="1"/>
    </row>
    <row r="35" spans="1:6" x14ac:dyDescent="0.25">
      <c r="A35" s="1"/>
      <c r="B35" s="81" t="s">
        <v>142</v>
      </c>
      <c r="C35" s="9">
        <v>191681</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xAEV9dsUX0WOjO1P8T41TpczvY0ehrlHe1cIdr1OkUbuXyIbk64tPwN4SrIXkvFwjsX0nkxaUUhqqyyBDm7y7w==" saltValue="5L9bsVMliaLQJ2cwKVZst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E955-3263-4CB0-A86D-D3B1F85993C0}">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275</v>
      </c>
      <c r="C9" s="121"/>
      <c r="D9" s="122"/>
      <c r="E9" s="9">
        <v>10248762</v>
      </c>
      <c r="F9" s="14" t="s">
        <v>3</v>
      </c>
      <c r="G9" s="1"/>
    </row>
    <row r="10" spans="1:7" ht="15" customHeight="1" x14ac:dyDescent="0.25">
      <c r="A10" s="1"/>
      <c r="B10" s="120" t="s">
        <v>143</v>
      </c>
      <c r="C10" s="121"/>
      <c r="D10" s="122"/>
      <c r="E10" s="9">
        <v>1490744</v>
      </c>
      <c r="F10" s="14" t="s">
        <v>3</v>
      </c>
      <c r="G10" s="1"/>
    </row>
    <row r="11" spans="1:7" ht="15" customHeight="1" x14ac:dyDescent="0.25">
      <c r="A11" s="1"/>
      <c r="B11" s="120" t="s">
        <v>276</v>
      </c>
      <c r="C11" s="121"/>
      <c r="D11" s="122"/>
      <c r="E11" s="9">
        <v>402110</v>
      </c>
      <c r="F11" s="14" t="s">
        <v>3</v>
      </c>
      <c r="G11" s="1"/>
    </row>
    <row r="12" spans="1:7" x14ac:dyDescent="0.25">
      <c r="A12" s="1"/>
      <c r="B12" s="33"/>
      <c r="C12" s="28"/>
      <c r="D12" s="28"/>
      <c r="E12" s="28"/>
      <c r="F12" s="19"/>
      <c r="G12" s="1"/>
    </row>
    <row r="13" spans="1:7" ht="42" customHeight="1" x14ac:dyDescent="0.25">
      <c r="A13" s="1"/>
      <c r="B13" s="114" t="s">
        <v>277</v>
      </c>
      <c r="C13" s="115"/>
      <c r="D13" s="115"/>
      <c r="E13" s="115"/>
      <c r="F13" s="116"/>
      <c r="G13" s="1"/>
    </row>
    <row r="14" spans="1:7" ht="15" customHeight="1" x14ac:dyDescent="0.25">
      <c r="A14" s="1"/>
      <c r="B14" s="1"/>
      <c r="C14" s="1"/>
      <c r="D14" s="1"/>
      <c r="E14" s="1"/>
      <c r="F14" s="1"/>
      <c r="G14" s="1"/>
    </row>
    <row r="15" spans="1:7" x14ac:dyDescent="0.25">
      <c r="A15" s="1"/>
      <c r="B15" s="75" t="s">
        <v>278</v>
      </c>
      <c r="C15" s="76"/>
      <c r="D15" s="76"/>
      <c r="E15" s="76"/>
      <c r="F15" s="77"/>
      <c r="G15" s="1"/>
    </row>
    <row r="16" spans="1:7" x14ac:dyDescent="0.25">
      <c r="A16" s="1"/>
      <c r="B16" s="78" t="s">
        <v>279</v>
      </c>
      <c r="C16" s="79"/>
      <c r="D16" s="80"/>
      <c r="E16" s="9">
        <f>IF(E11&lt;0,E11,0)</f>
        <v>0</v>
      </c>
      <c r="F16" s="14" t="s">
        <v>3</v>
      </c>
      <c r="G16" s="1"/>
    </row>
    <row r="17" spans="1:7" x14ac:dyDescent="0.25">
      <c r="A17" s="1"/>
      <c r="B17" s="78" t="s">
        <v>280</v>
      </c>
      <c r="C17" s="79"/>
      <c r="D17" s="80"/>
      <c r="E17" s="9">
        <f>IF(SUM(E10)&gt;0,SUM(E10),0)</f>
        <v>1490744</v>
      </c>
      <c r="F17" s="14" t="s">
        <v>3</v>
      </c>
      <c r="G17" s="1"/>
    </row>
    <row r="18" spans="1:7" x14ac:dyDescent="0.25">
      <c r="A18" s="1"/>
      <c r="B18" s="82" t="s">
        <v>281</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282</v>
      </c>
      <c r="C21" s="76"/>
      <c r="D21" s="76"/>
      <c r="E21" s="76"/>
      <c r="F21" s="77"/>
      <c r="G21" s="1"/>
    </row>
    <row r="22" spans="1:7" x14ac:dyDescent="0.25">
      <c r="A22" s="1"/>
      <c r="B22" s="78" t="s">
        <v>283</v>
      </c>
      <c r="C22" s="79"/>
      <c r="D22" s="80"/>
      <c r="E22" s="9">
        <v>68236211</v>
      </c>
      <c r="F22" s="14" t="s">
        <v>3</v>
      </c>
      <c r="G22" s="1"/>
    </row>
    <row r="23" spans="1:7" x14ac:dyDescent="0.25">
      <c r="A23" s="1"/>
      <c r="B23" s="78" t="s">
        <v>284</v>
      </c>
      <c r="C23" s="79"/>
      <c r="D23" s="80"/>
      <c r="E23" s="9">
        <v>68620391</v>
      </c>
      <c r="F23" s="14" t="s">
        <v>3</v>
      </c>
      <c r="G23" s="1"/>
    </row>
    <row r="24" spans="1:7" x14ac:dyDescent="0.25">
      <c r="A24" s="1"/>
      <c r="B24" s="78" t="s">
        <v>30</v>
      </c>
      <c r="C24" s="79"/>
      <c r="D24" s="80"/>
      <c r="E24" s="9">
        <v>0</v>
      </c>
      <c r="F24" s="14" t="s">
        <v>3</v>
      </c>
      <c r="G24" s="1"/>
    </row>
    <row r="25" spans="1:7" x14ac:dyDescent="0.25">
      <c r="A25" s="1"/>
      <c r="B25" s="82" t="s">
        <v>285</v>
      </c>
      <c r="C25" s="83"/>
      <c r="D25" s="84"/>
      <c r="E25" s="62">
        <f>E22-E23-E24</f>
        <v>-384180</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286</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qZMLdCpQ9W2gD4K6gawFkMCUk0CeSNOKsoCxGPe8JMugv44AywYX1wt9tm2gFBsEYHXUsY4aTzSnZHq5lCFOw==" saltValue="l3qOCDX0lzI0U/2fu2CJH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krkK0xvLaTkVX5NPf2xOrRXr3YQ6dhNYHHd3nxkk3f1ez0t0ydI16fv9mEGrG2/pUfddsFssXzvz5DPmsdi/g==" saltValue="e3yEb8qiuxKLWzxmgmULI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2yPesnJnWmSVDicVI5wxtDKfgtqWmpxT0noAQ1LXeiMGGmNScc9qb0EEQDyRb1P50mt8pLXAh9A+ObpuYtcCw==" saltValue="n1Uha70FgphDgPdfG5F7C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3dfrDtqFyfl/U+JD21qPBG2yLA/QvGPvDODdZW77CgZ1pNv86ES8V9bG2AyOpTGlFtE/rKQgb9sVcr6yWR/H4A==" saltValue="2Ggcc3uVGYDw1MFMzRN1t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320395.38</v>
      </c>
      <c r="F11" s="14" t="s">
        <v>3</v>
      </c>
      <c r="G11" s="1"/>
    </row>
    <row r="12" spans="1:7" x14ac:dyDescent="0.25">
      <c r="A12" s="1"/>
      <c r="B12" s="24" t="s">
        <v>288</v>
      </c>
      <c r="C12" s="21">
        <v>0</v>
      </c>
      <c r="D12" s="14" t="s">
        <v>3</v>
      </c>
      <c r="E12" s="9">
        <v>85170.430000000008</v>
      </c>
      <c r="F12" s="14" t="s">
        <v>3</v>
      </c>
      <c r="G12" s="1"/>
    </row>
    <row r="13" spans="1:7" x14ac:dyDescent="0.25">
      <c r="A13" s="1"/>
      <c r="B13" s="24" t="s">
        <v>289</v>
      </c>
      <c r="C13" s="21">
        <v>0</v>
      </c>
      <c r="D13" s="14" t="s">
        <v>3</v>
      </c>
      <c r="E13" s="9">
        <v>147754.96</v>
      </c>
      <c r="F13" s="14" t="s">
        <v>3</v>
      </c>
      <c r="G13" s="1"/>
    </row>
    <row r="14" spans="1:7" x14ac:dyDescent="0.25">
      <c r="A14" s="1"/>
      <c r="B14" s="24" t="s">
        <v>290</v>
      </c>
      <c r="C14" s="21">
        <v>816701.89</v>
      </c>
      <c r="D14" s="14" t="s">
        <v>3</v>
      </c>
      <c r="E14" s="9">
        <v>598797.11</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816701.89</v>
      </c>
      <c r="D19" s="13" t="s">
        <v>3</v>
      </c>
      <c r="E19" s="12">
        <f>SUM(E10:E18)</f>
        <v>1152117.8799999999</v>
      </c>
      <c r="F19" s="13" t="s">
        <v>3</v>
      </c>
      <c r="G19" s="1"/>
    </row>
    <row r="20" spans="1:7" x14ac:dyDescent="0.25">
      <c r="A20" s="1"/>
      <c r="B20" s="33" t="s">
        <v>233</v>
      </c>
      <c r="C20" s="12">
        <f>C19*(1+'Fane 15. Nøgletal'!C16)</f>
        <v>882691.40271199995</v>
      </c>
      <c r="D20" s="13" t="s">
        <v>3</v>
      </c>
      <c r="E20" s="12">
        <f>E19*(1+'Fane 15. Nøgletal'!C16)</f>
        <v>1245209.004704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8O2oAGtLK/gME0vGFrF+MOAS7anw51PsBb4hzA7qEsKsJTGtv+S1Y5uO9xB7XG1mEqUzkhS0bwwSqahIxbmug==" saltValue="OE9lNCOIVJX8ULPQIPW8q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287</v>
      </c>
      <c r="C10" s="21">
        <v>361280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361280</v>
      </c>
      <c r="D13" s="13" t="s">
        <v>3</v>
      </c>
      <c r="E13" s="12">
        <f>SUM(E10:E12)</f>
        <v>0</v>
      </c>
      <c r="F13" s="13" t="s">
        <v>3</v>
      </c>
      <c r="G13" s="1"/>
    </row>
    <row r="14" spans="1:7" x14ac:dyDescent="0.25">
      <c r="A14" s="1"/>
      <c r="B14" s="33" t="s">
        <v>235</v>
      </c>
      <c r="C14" s="12">
        <f>C13*(1+'Fane 15. Nøgletal'!C16)^2</f>
        <v>422021.5150592</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43NPINnDPmCp537PuPHNUV+cVd6eaOCi5XSjZmbE4GsE4XdqmqSmOQcGKrUYUC9ZGjwpmjuNJdP0CZRod7JQ==" saltValue="nJecaRyixDWiQrSIoQR2n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14kPyvRSgkWYOnuCx99WDlmZKrsOoCibmdzeFXUTTBukCtpVbpKqvR/xoTNrafOmaQbbomOd0dPKnGxaZb+0w==" saltValue="Gi93lW8E2vkUkXed9oa2U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I4j5NDKetO6+KWoEARVPgIY0VYxrMu1UCZacbRi5kM7sl9gvHaJHSSPNCXcr1e1G2SxX6nUA4vwDXK0mnUT0A==" saltValue="zXF8pMbOh9xuRZrrdx4Wg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FLfyC6OtRiM1q88NEgZ/7Jv3RJ3y8XtbhjJd31iBFMvSSOp3nzTsuYSS52hYnzHrgHcvWhoY0AF+qznzH9gkg==" saltValue="H8/ZvgWgkMpF6cYGCUoHT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48321623.963479616</v>
      </c>
      <c r="D9" s="8" t="s">
        <v>3</v>
      </c>
      <c r="E9" s="1"/>
    </row>
    <row r="10" spans="1:5" ht="17.25" customHeight="1" x14ac:dyDescent="0.25">
      <c r="A10" s="1"/>
      <c r="B10" s="88" t="s">
        <v>36</v>
      </c>
      <c r="C10" s="7">
        <f>'Fane 11.1. Varige tillæg'!C20</f>
        <v>882691.40271199995</v>
      </c>
      <c r="D10" s="8" t="s">
        <v>3</v>
      </c>
      <c r="E10" s="1"/>
    </row>
    <row r="11" spans="1:5" ht="17.25" customHeight="1" x14ac:dyDescent="0.25">
      <c r="A11" s="1"/>
      <c r="B11" s="88" t="s">
        <v>37</v>
      </c>
      <c r="C11" s="9">
        <f>'Fane 11.1. Varige tillæg'!E20</f>
        <v>1245209.004704</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4076321.569168366</v>
      </c>
      <c r="D16" s="8" t="s">
        <v>3</v>
      </c>
      <c r="E16" s="1"/>
    </row>
    <row r="17" spans="1:5" ht="17.25" customHeight="1" x14ac:dyDescent="0.25">
      <c r="A17" s="1"/>
      <c r="B17" s="88" t="s">
        <v>10</v>
      </c>
      <c r="C17" s="41">
        <f>-SUM(C9,C10:C16)*'Fane 5. Individuelt eff. krav'!G9</f>
        <v>-155505.42150474925</v>
      </c>
      <c r="D17" s="8" t="s">
        <v>3</v>
      </c>
      <c r="E17" s="1"/>
    </row>
    <row r="18" spans="1:5" ht="17.25" customHeight="1" x14ac:dyDescent="0.25">
      <c r="A18" s="1"/>
      <c r="B18" s="88" t="s">
        <v>23</v>
      </c>
      <c r="C18" s="41">
        <f>-'Fane 4.1. Gen. krav - drift'!G54</f>
        <v>-177430.22984842095</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54192910.28871081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19966529.365878008</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Engangstillæg'!C14</f>
        <v>422021.5150592</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41">
        <f>-C26*('Fane 15. Nøgletal'!C33+'Fane 5. Individuelt eff. krav'!G9)</f>
        <v>-9644.017929251102</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412377.49712994893</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74571817.151718765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xQah0ebbHEhBQ0mMHSHPB4zgRktj3lcO8kX0c/izoEP1PjCsobsjVEdL+UNL8/p3vezzlo3UB3FauXW9k/5XQ==" saltValue="BN3VC+fxMbG7trTWTXcLU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PPHJUgKgQSPvub1xk39S3L+btstjaiTLCzB1XFlscggc4pqDQ3FjyyPBlaIBGbIncRA+iCs9iLP9J52jRTma3w==" saltValue="bHw7KEh1fQrmVO2nD6RcM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54192910.28871081</v>
      </c>
      <c r="D9" s="8" t="s">
        <v>3</v>
      </c>
      <c r="E9" s="1"/>
    </row>
    <row r="10" spans="1:5" ht="15" customHeight="1" x14ac:dyDescent="0.25">
      <c r="A10" s="1"/>
      <c r="B10" s="26" t="s">
        <v>19</v>
      </c>
      <c r="C10" s="7">
        <f>SUM(C9:C9)*'Fane 15. Nøgletal'!C16</f>
        <v>4378787.1513278335</v>
      </c>
      <c r="D10" s="8" t="s">
        <v>3</v>
      </c>
      <c r="E10" s="1"/>
    </row>
    <row r="11" spans="1:5" ht="15" customHeight="1" x14ac:dyDescent="0.25">
      <c r="A11" s="1"/>
      <c r="B11" s="26" t="s">
        <v>10</v>
      </c>
      <c r="C11" s="9">
        <f>-SUM(C9:C10)*'Fane 5. Individuelt eff. krav'!G9</f>
        <v>-167044.01998042918</v>
      </c>
      <c r="D11" s="8" t="s">
        <v>3</v>
      </c>
      <c r="E11" s="1"/>
    </row>
    <row r="12" spans="1:5" ht="15" customHeight="1" x14ac:dyDescent="0.25">
      <c r="A12" s="1"/>
      <c r="B12" s="26" t="s">
        <v>23</v>
      </c>
      <c r="C12" s="9">
        <f>-'Fane 4.1. Gen. krav - drift'!G59</f>
        <v>-187931.26057176993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58216722.159486443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21564337.113840953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79781059.273327395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jyyCzPIqCMT9EltGYGUPEK+HDh53STSGWPPzpCCt/al6/GXdz+lycg4AlEGGcIjnsZRYFjoPRoaegpPtbaV6Q==" saltValue="AgfmlYIvqKUoeWeoVSjYZ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58216722.159486443</v>
      </c>
      <c r="D9" s="8" t="s">
        <v>3</v>
      </c>
      <c r="E9" s="1"/>
    </row>
    <row r="10" spans="1:5" ht="15" customHeight="1" x14ac:dyDescent="0.25">
      <c r="A10" s="1"/>
      <c r="B10" s="26" t="s">
        <v>19</v>
      </c>
      <c r="C10" s="7">
        <f>SUM(C9:C9)*'Fane 15. Nøgletal'!C16</f>
        <v>4703911.1504865047</v>
      </c>
      <c r="D10" s="8" t="s">
        <v>3</v>
      </c>
      <c r="E10" s="1"/>
    </row>
    <row r="11" spans="1:5" ht="15" customHeight="1" x14ac:dyDescent="0.25">
      <c r="A11" s="1"/>
      <c r="B11" s="26" t="s">
        <v>10</v>
      </c>
      <c r="C11" s="9">
        <f>-SUM(C9:C10)*'Fane 5. Individuelt eff. krav'!G9</f>
        <v>-179447.00234396083</v>
      </c>
      <c r="D11" s="8" t="s">
        <v>3</v>
      </c>
      <c r="E11" s="1"/>
    </row>
    <row r="12" spans="1:5" ht="15" customHeight="1" x14ac:dyDescent="0.25">
      <c r="A12" s="1"/>
      <c r="B12" s="26" t="s">
        <v>23</v>
      </c>
      <c r="C12" s="9">
        <f>-'Fane 4.1. Gen. krav - drift'!G64</f>
        <v>-199053.78429744954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62542132.523331538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23291247.727839299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85833380.251170844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FfTq7q7kyb1Xfi+UZurTagN5COTZZmOs4PC77hC4bYDFoImODvUtnSKoZiDB8rBAVxfDrkX4VZJwYJ9qzpuuw==" saltValue="MFLLnan49wY7aU77V6dP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62542132.523331538</v>
      </c>
      <c r="D9" s="8" t="s">
        <v>3</v>
      </c>
      <c r="E9" s="1"/>
      <c r="F9" s="1"/>
    </row>
    <row r="10" spans="1:6" ht="15" customHeight="1" x14ac:dyDescent="0.25">
      <c r="A10" s="1"/>
      <c r="B10" s="26" t="s">
        <v>19</v>
      </c>
      <c r="C10" s="7">
        <f>SUM(C9:C9)*'Fane 15. Nøgletal'!C16</f>
        <v>5053404.3078851877</v>
      </c>
      <c r="D10" s="8" t="s">
        <v>3</v>
      </c>
      <c r="E10" s="1"/>
      <c r="F10" s="1"/>
    </row>
    <row r="11" spans="1:6" ht="15" customHeight="1" x14ac:dyDescent="0.25">
      <c r="A11" s="1"/>
      <c r="B11" s="26" t="s">
        <v>10</v>
      </c>
      <c r="C11" s="9">
        <f>-SUM(C9:C10)*'Fane 5. Individuelt eff. krav'!G9</f>
        <v>-192779.63075222349</v>
      </c>
      <c r="D11" s="8" t="s">
        <v>3</v>
      </c>
      <c r="E11" s="1"/>
      <c r="F11" s="1"/>
    </row>
    <row r="12" spans="1:6" ht="15" customHeight="1" x14ac:dyDescent="0.25">
      <c r="A12" s="1"/>
      <c r="B12" s="26" t="s">
        <v>23</v>
      </c>
      <c r="C12" s="9">
        <f>-'Fane 4.1. Gen. krav - drift'!G69</f>
        <v>-210834.58346730983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67191922.616997197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24966011.719448715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92157934.336445913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V6GV7fSAm9V9CCteN5qdL5fzsKGveiTFLW3g6RUXeTEdCrHVRKd4elaG6spG6fFP+O0KeujDc00pei8+qScP5Q==" saltValue="wHpyu/0TiEX9WkCUMcRvj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49515744.424308062</v>
      </c>
      <c r="D9" s="8" t="s">
        <v>3</v>
      </c>
      <c r="E9" s="1"/>
    </row>
    <row r="10" spans="1:5" x14ac:dyDescent="0.25">
      <c r="A10" s="1"/>
      <c r="B10" s="88" t="s">
        <v>36</v>
      </c>
      <c r="C10" s="7">
        <v>68775.231599999999</v>
      </c>
      <c r="D10" s="8" t="s">
        <v>3</v>
      </c>
      <c r="E10" s="1"/>
    </row>
    <row r="11" spans="1:5" x14ac:dyDescent="0.25">
      <c r="A11" s="1"/>
      <c r="B11" s="88" t="s">
        <v>37</v>
      </c>
      <c r="C11" s="9">
        <v>147566.78640000001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171103.73244101659</v>
      </c>
      <c r="D16" s="8" t="s">
        <v>3</v>
      </c>
      <c r="E16" s="1"/>
    </row>
    <row r="17" spans="1:5" x14ac:dyDescent="0.25">
      <c r="A17" s="1"/>
      <c r="B17" s="88" t="s">
        <v>10</v>
      </c>
      <c r="C17" s="41">
        <v>-776910.0590000361</v>
      </c>
      <c r="D17" s="8" t="s">
        <v>3</v>
      </c>
      <c r="E17" s="1"/>
    </row>
    <row r="18" spans="1:5" x14ac:dyDescent="0.25">
      <c r="A18" s="1"/>
      <c r="B18" s="88" t="s">
        <v>23</v>
      </c>
      <c r="C18" s="41">
        <v>-149501.85471778119</v>
      </c>
      <c r="D18" s="8" t="s">
        <v>3</v>
      </c>
      <c r="E18" s="1"/>
    </row>
    <row r="19" spans="1:5" x14ac:dyDescent="0.25">
      <c r="A19" s="1"/>
      <c r="B19" s="88" t="s">
        <v>24</v>
      </c>
      <c r="C19" s="41">
        <v>-655154.29755163786</v>
      </c>
      <c r="D19" s="8" t="s">
        <v>3</v>
      </c>
      <c r="E19" s="47"/>
    </row>
    <row r="20" spans="1:5" x14ac:dyDescent="0.25">
      <c r="A20" s="1"/>
      <c r="B20" s="82" t="s">
        <v>21</v>
      </c>
      <c r="C20" s="10">
        <v>48321623.963479616</v>
      </c>
      <c r="D20" s="11" t="s">
        <v>3</v>
      </c>
      <c r="E20" s="1"/>
    </row>
    <row r="21" spans="1:5" x14ac:dyDescent="0.25">
      <c r="A21" s="1"/>
      <c r="B21" s="33" t="s">
        <v>12</v>
      </c>
      <c r="C21" s="28"/>
      <c r="D21" s="19"/>
      <c r="E21" s="1"/>
    </row>
    <row r="22" spans="1:5" x14ac:dyDescent="0.25">
      <c r="A22" s="1"/>
      <c r="B22" s="31" t="s">
        <v>12</v>
      </c>
      <c r="C22" s="10">
        <v>18886859.367917132</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67208483.331396744</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M24tAzzFTexRLNY3Ez2y3RFTyb9/yF04LidL51UzNi5UThBkMUGCGSegB13mEMe3y+LEUSi9M5YyCIEjFQ7T0Q==" saltValue="cRLzXQWG1H8VmjRFj5fSZ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7252280</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145045.6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7231611.0020000013</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144632.22004000001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7211000.9106443021</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144220.01821288603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7205996.4760123156</v>
      </c>
      <c r="H25" s="14" t="s">
        <v>3</v>
      </c>
      <c r="I25" s="1"/>
    </row>
    <row r="26" spans="1:9" x14ac:dyDescent="0.25">
      <c r="A26" s="1"/>
      <c r="B26" s="123" t="s">
        <v>246</v>
      </c>
      <c r="C26" s="124"/>
      <c r="D26" s="124"/>
      <c r="E26" s="124"/>
      <c r="F26" s="125"/>
      <c r="G26" s="66">
        <v>101181.77903790001</v>
      </c>
      <c r="H26" s="14" t="s">
        <v>3</v>
      </c>
      <c r="I26" s="1"/>
    </row>
    <row r="27" spans="1:9" x14ac:dyDescent="0.25">
      <c r="A27" s="1"/>
      <c r="B27" s="120" t="s">
        <v>45</v>
      </c>
      <c r="C27" s="121"/>
      <c r="D27" s="121"/>
      <c r="E27" s="121"/>
      <c r="F27" s="122"/>
      <c r="G27" s="23">
        <f>(G25+G26)*'Fane 15. Nøgletal'!C33</f>
        <v>146143.56510100432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7302107.0733412113</v>
      </c>
      <c r="H31" s="14" t="s">
        <v>3</v>
      </c>
      <c r="I31" s="1"/>
    </row>
    <row r="32" spans="1:9" x14ac:dyDescent="0.25">
      <c r="A32" s="1"/>
      <c r="B32" s="120" t="s">
        <v>243</v>
      </c>
      <c r="C32" s="121"/>
      <c r="D32" s="121"/>
      <c r="E32" s="121"/>
      <c r="F32" s="122"/>
      <c r="G32" s="63">
        <v>131073.60674771998</v>
      </c>
      <c r="H32" s="14" t="s">
        <v>3</v>
      </c>
      <c r="I32" s="1"/>
    </row>
    <row r="33" spans="1:9" x14ac:dyDescent="0.25">
      <c r="A33" s="1"/>
      <c r="B33" s="120" t="s">
        <v>54</v>
      </c>
      <c r="C33" s="121"/>
      <c r="D33" s="121"/>
      <c r="E33" s="121"/>
      <c r="F33" s="122"/>
      <c r="G33" s="23">
        <f>(G31+G32)*'Fane 15. Nøgletal'!C33</f>
        <v>148663.61360177863</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7308555.9728065608</v>
      </c>
      <c r="H37" s="14" t="s">
        <v>3</v>
      </c>
      <c r="I37" s="1"/>
    </row>
    <row r="38" spans="1:9" x14ac:dyDescent="0.25">
      <c r="A38" s="1"/>
      <c r="B38" s="120" t="s">
        <v>242</v>
      </c>
      <c r="C38" s="121"/>
      <c r="D38" s="121"/>
      <c r="E38" s="121"/>
      <c r="F38" s="122"/>
      <c r="G38" s="63">
        <v>221563.10977612005</v>
      </c>
      <c r="H38" s="14" t="s">
        <v>3</v>
      </c>
      <c r="I38" s="1"/>
    </row>
    <row r="39" spans="1:9" x14ac:dyDescent="0.25">
      <c r="A39" s="1"/>
      <c r="B39" s="120" t="s">
        <v>128</v>
      </c>
      <c r="C39" s="121"/>
      <c r="D39" s="121"/>
      <c r="E39" s="121"/>
      <c r="F39" s="122"/>
      <c r="G39" s="23">
        <f>(G37+G38)*'Fane 15. Nøgletal'!C33</f>
        <v>150602.38165165362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7403869.1060440997</v>
      </c>
      <c r="H43" s="14" t="s">
        <v>3</v>
      </c>
      <c r="I43" s="1"/>
    </row>
    <row r="44" spans="1:9" x14ac:dyDescent="0.25">
      <c r="A44" s="1"/>
      <c r="B44" s="126" t="s">
        <v>157</v>
      </c>
      <c r="C44" s="127"/>
      <c r="D44" s="127"/>
      <c r="E44" s="127"/>
      <c r="F44" s="128"/>
      <c r="G44" s="72">
        <v>71223.62984496</v>
      </c>
      <c r="H44" s="14" t="s">
        <v>3</v>
      </c>
      <c r="I44" s="1"/>
    </row>
    <row r="45" spans="1:9" x14ac:dyDescent="0.25">
      <c r="A45" s="1"/>
      <c r="B45" s="120" t="s">
        <v>129</v>
      </c>
      <c r="C45" s="121"/>
      <c r="D45" s="121"/>
      <c r="E45" s="121"/>
      <c r="F45" s="122"/>
      <c r="G45" s="23">
        <f>SUM(G43:G44)*'Fane 15. Nøgletal'!C33</f>
        <v>149501.85471778119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7917498.6243699174</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954012.86805112951</v>
      </c>
      <c r="H53" s="14" t="s">
        <v>3</v>
      </c>
      <c r="I53" s="1"/>
    </row>
    <row r="54" spans="1:9" x14ac:dyDescent="0.25">
      <c r="A54" s="1"/>
      <c r="B54" s="120" t="s">
        <v>210</v>
      </c>
      <c r="C54" s="121"/>
      <c r="D54" s="121"/>
      <c r="E54" s="121"/>
      <c r="F54" s="122"/>
      <c r="G54" s="23">
        <f>(G52)*'Fane 15. Nøgletal'!C33+(G53)*'Fane 15. Nøgletal'!C33</f>
        <v>177430.22984842095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9396563.0285884961</v>
      </c>
      <c r="H58" s="14" t="s">
        <v>3</v>
      </c>
      <c r="I58" s="1"/>
    </row>
    <row r="59" spans="1:9" x14ac:dyDescent="0.25">
      <c r="A59" s="1"/>
      <c r="B59" s="78" t="s">
        <v>211</v>
      </c>
      <c r="C59" s="79"/>
      <c r="D59" s="79"/>
      <c r="E59" s="79"/>
      <c r="F59" s="80"/>
      <c r="G59" s="23">
        <f>(G58)*'Fane 15. Nøgletal'!C33</f>
        <v>187931.26057176993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9952689.2148724776</v>
      </c>
      <c r="H63" s="14" t="s">
        <v>3</v>
      </c>
      <c r="I63" s="1"/>
    </row>
    <row r="64" spans="1:9" x14ac:dyDescent="0.25">
      <c r="A64" s="1"/>
      <c r="B64" s="78" t="s">
        <v>214</v>
      </c>
      <c r="C64" s="79"/>
      <c r="D64" s="79"/>
      <c r="E64" s="79"/>
      <c r="F64" s="80"/>
      <c r="G64" s="23">
        <f>(G63)*'Fane 15. Nøgletal'!C33</f>
        <v>199053.78429744954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10541729.173365491</v>
      </c>
      <c r="H68" s="14" t="s">
        <v>3</v>
      </c>
      <c r="I68" s="1"/>
    </row>
    <row r="69" spans="1:9" x14ac:dyDescent="0.25">
      <c r="A69" s="1"/>
      <c r="B69" s="78" t="s">
        <v>214</v>
      </c>
      <c r="C69" s="79"/>
      <c r="D69" s="79"/>
      <c r="E69" s="79"/>
      <c r="F69" s="80"/>
      <c r="G69" s="23">
        <f>(G68)*'Fane 15. Nøgletal'!C33</f>
        <v>210834.58346730983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KGfJpY69k6j3Cw6+E5PWsC3MjyZ8Aj7RiMByMSht80PVlsnk7DbSJWFoVX8kV5mPmo6lcYaxkd5+muTl0Cn3vw==" saltValue="WFXBhbmjWZRXtFtlU/LJD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42729460</v>
      </c>
      <c r="H5" s="14" t="s">
        <v>3</v>
      </c>
      <c r="I5" s="1"/>
    </row>
    <row r="6" spans="1:9" x14ac:dyDescent="0.25">
      <c r="A6" s="1"/>
      <c r="B6" s="120" t="s">
        <v>51</v>
      </c>
      <c r="C6" s="121"/>
      <c r="D6" s="121"/>
      <c r="E6" s="121"/>
      <c r="F6" s="122"/>
      <c r="G6" s="23">
        <f>G5*'Fane 15. Nøgletal'!C21</f>
        <v>388838.08600000001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43081582.797495</v>
      </c>
      <c r="H10" s="14" t="s">
        <v>3</v>
      </c>
      <c r="I10" s="1"/>
    </row>
    <row r="11" spans="1:9" x14ac:dyDescent="0.25">
      <c r="A11" s="1"/>
      <c r="B11" s="120" t="s">
        <v>104</v>
      </c>
      <c r="C11" s="121"/>
      <c r="D11" s="121"/>
      <c r="E11" s="121"/>
      <c r="F11" s="122"/>
      <c r="G11" s="63">
        <v>-68348.002068683752</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761334.25587904581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42991308.798989356</v>
      </c>
      <c r="H17" s="14" t="s">
        <v>3</v>
      </c>
      <c r="I17" s="1"/>
    </row>
    <row r="18" spans="1:9" x14ac:dyDescent="0.25">
      <c r="A18" s="1"/>
      <c r="B18" s="123" t="s">
        <v>248</v>
      </c>
      <c r="C18" s="124"/>
      <c r="D18" s="124"/>
      <c r="E18" s="124"/>
      <c r="F18" s="125"/>
      <c r="G18" s="63">
        <v>360899.40667267452</v>
      </c>
      <c r="H18" s="14" t="s">
        <v>3</v>
      </c>
      <c r="I18" s="1"/>
    </row>
    <row r="19" spans="1:9" x14ac:dyDescent="0.25">
      <c r="A19" s="1"/>
      <c r="B19" s="120" t="s">
        <v>61</v>
      </c>
      <c r="C19" s="121"/>
      <c r="D19" s="121"/>
      <c r="E19" s="121"/>
      <c r="F19" s="122"/>
      <c r="G19" s="23">
        <f>G17*'Fane 15. Nøgletal'!C22+G18*'Fane 15. Nøgletal'!C23</f>
        <v>764085.9905801639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43427108.222718976</v>
      </c>
      <c r="H23" s="14" t="s">
        <v>3</v>
      </c>
      <c r="I23" s="1"/>
    </row>
    <row r="24" spans="1:9" x14ac:dyDescent="0.25">
      <c r="A24" s="1"/>
      <c r="B24" s="123" t="s">
        <v>249</v>
      </c>
      <c r="C24" s="124"/>
      <c r="D24" s="124"/>
      <c r="E24" s="124"/>
      <c r="F24" s="125"/>
      <c r="G24" s="63">
        <v>811419.4766081667</v>
      </c>
      <c r="H24" s="14" t="s">
        <v>3</v>
      </c>
      <c r="I24" s="1"/>
    </row>
    <row r="25" spans="1:9" x14ac:dyDescent="0.25">
      <c r="A25" s="1"/>
      <c r="B25" s="120" t="s">
        <v>64</v>
      </c>
      <c r="C25" s="121"/>
      <c r="D25" s="121"/>
      <c r="E25" s="121"/>
      <c r="F25" s="122"/>
      <c r="G25" s="23">
        <f>(G23+G24)*'Fane 15. Nøgletal'!C24</f>
        <v>1256374.1866608909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43828901.936865777</v>
      </c>
      <c r="H29" s="14" t="s">
        <v>3</v>
      </c>
      <c r="I29" s="1"/>
    </row>
    <row r="30" spans="1:9" x14ac:dyDescent="0.25">
      <c r="A30" s="1"/>
      <c r="B30" s="120" t="s">
        <v>250</v>
      </c>
      <c r="C30" s="121"/>
      <c r="D30" s="121"/>
      <c r="E30" s="121"/>
      <c r="F30" s="122"/>
      <c r="G30" s="63">
        <v>663969.12125039997</v>
      </c>
      <c r="H30" s="14" t="s">
        <v>3</v>
      </c>
      <c r="I30" s="1"/>
    </row>
    <row r="31" spans="1:9" x14ac:dyDescent="0.25">
      <c r="A31" s="1"/>
      <c r="B31" s="120" t="s">
        <v>67</v>
      </c>
      <c r="C31" s="121"/>
      <c r="D31" s="121"/>
      <c r="E31" s="121"/>
      <c r="F31" s="122"/>
      <c r="G31" s="23">
        <f>G29*'Fane 15. Nøgletal'!C24+G30*'Fane 15. Nøgletal'!C25</f>
        <v>1262999.9658413741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43372529.666879311</v>
      </c>
      <c r="H35" s="14" t="s">
        <v>3</v>
      </c>
      <c r="I35" s="1"/>
    </row>
    <row r="36" spans="1:9" x14ac:dyDescent="0.25">
      <c r="A36" s="1"/>
      <c r="B36" s="120" t="s">
        <v>251</v>
      </c>
      <c r="C36" s="121"/>
      <c r="D36" s="121"/>
      <c r="E36" s="121"/>
      <c r="F36" s="122"/>
      <c r="G36" s="63">
        <v>1411860.3549833202</v>
      </c>
      <c r="H36" s="14" t="s">
        <v>3</v>
      </c>
      <c r="I36" s="1"/>
    </row>
    <row r="37" spans="1:9" x14ac:dyDescent="0.25">
      <c r="A37" s="1"/>
      <c r="B37" s="120" t="s">
        <v>131</v>
      </c>
      <c r="C37" s="121"/>
      <c r="D37" s="121"/>
      <c r="E37" s="121"/>
      <c r="F37" s="122"/>
      <c r="G37" s="23">
        <f>(G35+G36)*'Fane 15. Nøgletal'!C26</f>
        <v>662808.97232356702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44267182.267002553</v>
      </c>
      <c r="H41" s="14" t="s">
        <v>3</v>
      </c>
      <c r="I41" s="1"/>
    </row>
    <row r="42" spans="1:9" x14ac:dyDescent="0.25">
      <c r="A42" s="1"/>
      <c r="B42" s="40" t="s">
        <v>156</v>
      </c>
      <c r="C42" s="79"/>
      <c r="D42" s="79"/>
      <c r="E42" s="79"/>
      <c r="F42" s="80"/>
      <c r="G42" s="23">
        <v>152820.16399584003</v>
      </c>
      <c r="H42" s="14" t="s">
        <v>3</v>
      </c>
      <c r="I42" s="1"/>
    </row>
    <row r="43" spans="1:9" x14ac:dyDescent="0.25">
      <c r="A43" s="1"/>
      <c r="B43" s="120" t="s">
        <v>132</v>
      </c>
      <c r="C43" s="121"/>
      <c r="D43" s="121"/>
      <c r="E43" s="121"/>
      <c r="F43" s="122"/>
      <c r="G43" s="23">
        <f>(G41)*'Fane 15. Nøgletal'!C26+G42*'Fane 15. Nøgletal'!C27</f>
        <v>655154.29755163786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47301047.86262925</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1345821.8922840832</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52577536.831110328</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56825801.807064041</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61417326.593074813</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a929SDTgVaLaFsl3f3EN4QmcGzEZJ43V0RtlAlAFxhAqJylI65LiCiRYjDrMecszjW9LMec0CGeinA2K63/djQ==" saltValue="4NvHE31blpfy9gTvFVHsk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2.8519579810955017E-3</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QgXilCP/piZY0Lm/OSf2QcnVQ5rodc/YqvJJGexAVwRmU37dp2EjiCyDZ+DRVXtEcQXXpJEquUmMLVjM+9YVog==" saltValue="gHX3MystRRNpruaLzJ/ZY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2024-02-12T12:27:59Z</dcterms:modified>
</cp:coreProperties>
</file>